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Прайси нові\"/>
    </mc:Choice>
  </mc:AlternateContent>
  <bookViews>
    <workbookView xWindow="0" yWindow="0" windowWidth="23040" windowHeight="9072" activeTab="1"/>
  </bookViews>
  <sheets>
    <sheet name="TITLE" sheetId="6" r:id="rId1"/>
    <sheet name="Products" sheetId="5" r:id="rId2"/>
    <sheet name="print page" sheetId="7" r:id="rId3"/>
  </sheets>
  <definedNames>
    <definedName name="Door_ECO_Bergamo">Products!$B$501:$S$525</definedName>
    <definedName name="Door_ECO_Focus">Products!#REF!</definedName>
    <definedName name="Door_ECO_Grande">Products!$B$575:$S$600</definedName>
    <definedName name="Door_ECO_Liano">Products!$B$427:$S$451</definedName>
    <definedName name="Door_ECO_Milano">Products!$B$349:$S$377</definedName>
    <definedName name="Door_ECO_Piano">Products!$B$650:$S$668</definedName>
    <definedName name="Door_ECO_Style">Products!#REF!</definedName>
    <definedName name="Door_ECO_Tango">Products!$B$182:$S$203</definedName>
    <definedName name="Door_ECO_Terra">Products!#REF!</definedName>
    <definedName name="Door_ECO_Viento">Products!$B$765:$S$786</definedName>
    <definedName name="DoorHandles">Products!$B$1192:$S$1200</definedName>
    <definedName name="ECO_Slide">Products!$B$836:$S$845</definedName>
    <definedName name="Frame_Classic">Products!$B$895:$S$911</definedName>
    <definedName name="Frame_ECO_Fit">Products!$B$961:$S$1000</definedName>
    <definedName name="Framugi">Products!$B$1108:$S$1129</definedName>
    <definedName name="Furniture">Products!$B$1246:$S$1275</definedName>
    <definedName name="MENU">TITLE!$A$2</definedName>
    <definedName name="Plinths">Products!$B$1050:$S$1058</definedName>
    <definedName name="vat">Products!$U$2:$U$3</definedName>
    <definedName name="Полотна_збірні___ECO_ELIT">Products!$B$49:$O$65</definedName>
    <definedName name="Полотна_збірні__ECO_NEAPOL">Products!$B$134:$S$156</definedName>
    <definedName name="Полотна_збірні__ECO_VIVA">Products!$B$9:$M$26</definedName>
    <definedName name="Полотна_збірні_ECO_FLORENCIA">Products!$B$83:$S$102</definedName>
  </definedNames>
  <calcPr calcId="162913"/>
</workbook>
</file>

<file path=xl/calcChain.xml><?xml version="1.0" encoding="utf-8"?>
<calcChain xmlns="http://schemas.openxmlformats.org/spreadsheetml/2006/main">
  <c r="D2" i="6" l="1"/>
  <c r="B2" i="6" l="1"/>
  <c r="E117" i="7"/>
  <c r="E785" i="5"/>
  <c r="D785" i="5"/>
  <c r="B785" i="5"/>
  <c r="D784" i="5"/>
  <c r="E784" i="5" s="1"/>
  <c r="B784" i="5"/>
  <c r="E783" i="5"/>
  <c r="D783" i="5"/>
  <c r="B783" i="5"/>
  <c r="D782" i="5"/>
  <c r="E782" i="5" s="1"/>
  <c r="B782" i="5"/>
  <c r="E781" i="5"/>
  <c r="D781" i="5"/>
  <c r="B781" i="5"/>
  <c r="D780" i="5"/>
  <c r="E780" i="5" s="1"/>
  <c r="B780" i="5"/>
  <c r="B778" i="5"/>
  <c r="E667" i="5"/>
  <c r="D667" i="5"/>
  <c r="B667" i="5"/>
  <c r="D666" i="5"/>
  <c r="E666" i="5" s="1"/>
  <c r="B666" i="5"/>
  <c r="D665" i="5"/>
  <c r="E665" i="5" s="1"/>
  <c r="B665" i="5"/>
  <c r="D664" i="5"/>
  <c r="E664" i="5" s="1"/>
  <c r="B664" i="5"/>
  <c r="D663" i="5"/>
  <c r="E663" i="5" s="1"/>
  <c r="B663" i="5"/>
  <c r="D662" i="5"/>
  <c r="E662" i="5" s="1"/>
  <c r="B662" i="5"/>
  <c r="D661" i="5"/>
  <c r="E661" i="5" s="1"/>
  <c r="B661" i="5"/>
  <c r="B659" i="5"/>
  <c r="E599" i="5"/>
  <c r="D599" i="5"/>
  <c r="B599" i="5"/>
  <c r="E598" i="5"/>
  <c r="D598" i="5"/>
  <c r="B598" i="5"/>
  <c r="D597" i="5"/>
  <c r="E597" i="5" s="1"/>
  <c r="B597" i="5"/>
  <c r="E596" i="5"/>
  <c r="D596" i="5"/>
  <c r="B596" i="5"/>
  <c r="D595" i="5"/>
  <c r="E595" i="5" s="1"/>
  <c r="B595" i="5"/>
  <c r="E594" i="5"/>
  <c r="D594" i="5"/>
  <c r="B594" i="5"/>
  <c r="D593" i="5"/>
  <c r="E593" i="5" s="1"/>
  <c r="B593" i="5"/>
  <c r="B591" i="5"/>
  <c r="E524" i="5"/>
  <c r="D524" i="5"/>
  <c r="B524" i="5"/>
  <c r="D523" i="5"/>
  <c r="E523" i="5" s="1"/>
  <c r="B523" i="5"/>
  <c r="D522" i="5"/>
  <c r="E522" i="5" s="1"/>
  <c r="B522" i="5"/>
  <c r="D521" i="5"/>
  <c r="E521" i="5" s="1"/>
  <c r="B521" i="5"/>
  <c r="D520" i="5"/>
  <c r="E520" i="5" s="1"/>
  <c r="B520" i="5"/>
  <c r="D519" i="5"/>
  <c r="E519" i="5" s="1"/>
  <c r="B519" i="5"/>
  <c r="B517" i="5"/>
  <c r="E450" i="5"/>
  <c r="D450" i="5"/>
  <c r="B450" i="5"/>
  <c r="E449" i="5"/>
  <c r="D449" i="5"/>
  <c r="B449" i="5"/>
  <c r="D448" i="5"/>
  <c r="E448" i="5" s="1"/>
  <c r="B448" i="5"/>
  <c r="E447" i="5"/>
  <c r="D447" i="5"/>
  <c r="B447" i="5"/>
  <c r="D446" i="5"/>
  <c r="E446" i="5" s="1"/>
  <c r="B446" i="5"/>
  <c r="E445" i="5"/>
  <c r="D445" i="5"/>
  <c r="B445" i="5"/>
  <c r="B443" i="5"/>
  <c r="E376" i="5"/>
  <c r="D376" i="5"/>
  <c r="B376" i="5"/>
  <c r="E375" i="5"/>
  <c r="D375" i="5"/>
  <c r="B375" i="5"/>
  <c r="D374" i="5"/>
  <c r="E374" i="5" s="1"/>
  <c r="B374" i="5"/>
  <c r="E373" i="5"/>
  <c r="D373" i="5"/>
  <c r="B373" i="5"/>
  <c r="D372" i="5"/>
  <c r="E372" i="5" s="1"/>
  <c r="B372" i="5"/>
  <c r="E371" i="5"/>
  <c r="D371" i="5"/>
  <c r="B371" i="5"/>
  <c r="D370" i="5"/>
  <c r="E370" i="5" s="1"/>
  <c r="B370" i="5"/>
  <c r="B368" i="5"/>
  <c r="D150" i="5"/>
  <c r="D149" i="5"/>
  <c r="E149" i="5" s="1"/>
  <c r="E148" i="5"/>
  <c r="D148" i="5"/>
  <c r="D147" i="5"/>
  <c r="E147" i="5" s="1"/>
  <c r="D146" i="5"/>
  <c r="E146" i="5" s="1"/>
  <c r="D145" i="5"/>
  <c r="E145" i="5" s="1"/>
  <c r="E144" i="5"/>
  <c r="D144" i="5"/>
  <c r="D99" i="5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65" i="5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E5" i="5" l="1"/>
  <c r="D4" i="7" s="1"/>
  <c r="B1" i="7"/>
  <c r="B39" i="7"/>
  <c r="B38" i="7"/>
  <c r="B30" i="7"/>
  <c r="B29" i="7"/>
  <c r="B12" i="7"/>
  <c r="B11" i="7"/>
  <c r="C12" i="6"/>
  <c r="B134" i="5" s="1"/>
  <c r="B34" i="7" s="1"/>
  <c r="K40" i="7"/>
  <c r="K39" i="7"/>
  <c r="K38" i="7"/>
  <c r="K37" i="7"/>
  <c r="K36" i="7"/>
  <c r="K35" i="7"/>
  <c r="F140" i="5"/>
  <c r="G140" i="5" s="1"/>
  <c r="E39" i="7" s="1"/>
  <c r="D140" i="5"/>
  <c r="E140" i="5" s="1"/>
  <c r="D39" i="7" s="1"/>
  <c r="F139" i="5"/>
  <c r="G139" i="5" s="1"/>
  <c r="E38" i="7" s="1"/>
  <c r="D139" i="5"/>
  <c r="E139" i="5" s="1"/>
  <c r="D38" i="7" s="1"/>
  <c r="C11" i="6"/>
  <c r="B83" i="5" s="1"/>
  <c r="B25" i="7" s="1"/>
  <c r="K31" i="7"/>
  <c r="K30" i="7"/>
  <c r="K29" i="7"/>
  <c r="K28" i="7"/>
  <c r="K27" i="7"/>
  <c r="K26" i="7"/>
  <c r="F89" i="5"/>
  <c r="G89" i="5" s="1"/>
  <c r="E30" i="7" s="1"/>
  <c r="D89" i="5"/>
  <c r="E89" i="5" s="1"/>
  <c r="D30" i="7" s="1"/>
  <c r="F88" i="5"/>
  <c r="G88" i="5" s="1"/>
  <c r="E29" i="7" s="1"/>
  <c r="D88" i="5"/>
  <c r="E88" i="5" s="1"/>
  <c r="D29" i="7" s="1"/>
  <c r="C10" i="6"/>
  <c r="B49" i="5" s="1"/>
  <c r="B16" i="7" s="1"/>
  <c r="K22" i="7"/>
  <c r="K21" i="7"/>
  <c r="K20" i="7"/>
  <c r="K19" i="7"/>
  <c r="K18" i="7"/>
  <c r="K17" i="7"/>
  <c r="F55" i="5"/>
  <c r="G55" i="5" s="1"/>
  <c r="E21" i="7" s="1"/>
  <c r="D55" i="5"/>
  <c r="E55" i="5" s="1"/>
  <c r="D21" i="7" s="1"/>
  <c r="F54" i="5"/>
  <c r="G54" i="5" s="1"/>
  <c r="E20" i="7" s="1"/>
  <c r="D54" i="5"/>
  <c r="E54" i="5" s="1"/>
  <c r="D20" i="7" s="1"/>
  <c r="C9" i="6"/>
  <c r="B9" i="5" s="1"/>
  <c r="B7" i="7" s="1"/>
  <c r="D22" i="5"/>
  <c r="E22" i="5" s="1"/>
  <c r="K11" i="7" s="1"/>
  <c r="D25" i="5"/>
  <c r="D24" i="5"/>
  <c r="E24" i="5" s="1"/>
  <c r="K13" i="7" s="1"/>
  <c r="D23" i="5"/>
  <c r="E23" i="5" s="1"/>
  <c r="K12" i="7" s="1"/>
  <c r="D21" i="5"/>
  <c r="E21" i="5" s="1"/>
  <c r="K10" i="7" s="1"/>
  <c r="D20" i="5"/>
  <c r="E20" i="5" s="1"/>
  <c r="K9" i="7" s="1"/>
  <c r="D19" i="5"/>
  <c r="E19" i="5" s="1"/>
  <c r="K8" i="7" s="1"/>
  <c r="F15" i="5"/>
  <c r="G15" i="5" s="1"/>
  <c r="E12" i="7" s="1"/>
  <c r="D15" i="5"/>
  <c r="E15" i="5" s="1"/>
  <c r="D12" i="7" s="1"/>
  <c r="F14" i="5"/>
  <c r="G14" i="5" s="1"/>
  <c r="E11" i="7" s="1"/>
  <c r="D14" i="5"/>
  <c r="E14" i="5" s="1"/>
  <c r="D11" i="7" s="1"/>
  <c r="E192" i="7"/>
  <c r="F840" i="5"/>
  <c r="F771" i="5"/>
  <c r="G771" i="5" s="1"/>
  <c r="E132" i="7" s="1"/>
  <c r="F772" i="5"/>
  <c r="F773" i="5"/>
  <c r="F774" i="5"/>
  <c r="G774" i="5" s="1"/>
  <c r="E135" i="7" s="1"/>
  <c r="F775" i="5"/>
  <c r="G775" i="5" s="1"/>
  <c r="E136" i="7" s="1"/>
  <c r="F776" i="5"/>
  <c r="F770" i="5"/>
  <c r="F656" i="5"/>
  <c r="G656" i="5" s="1"/>
  <c r="E124" i="7" s="1"/>
  <c r="F657" i="5"/>
  <c r="F655" i="5"/>
  <c r="G655" i="5" s="1"/>
  <c r="E123" i="7" s="1"/>
  <c r="F507" i="5"/>
  <c r="G507" i="5" s="1"/>
  <c r="E94" i="7" s="1"/>
  <c r="F508" i="5"/>
  <c r="F509" i="5"/>
  <c r="G509" i="5" s="1"/>
  <c r="E96" i="7" s="1"/>
  <c r="F510" i="5"/>
  <c r="F511" i="5"/>
  <c r="G511" i="5" s="1"/>
  <c r="E98" i="7" s="1"/>
  <c r="F512" i="5"/>
  <c r="F513" i="5"/>
  <c r="G513" i="5" s="1"/>
  <c r="E100" i="7" s="1"/>
  <c r="F514" i="5"/>
  <c r="F515" i="5"/>
  <c r="G515" i="5" s="1"/>
  <c r="E102" i="7" s="1"/>
  <c r="F506" i="5"/>
  <c r="G506" i="5" s="1"/>
  <c r="E93" i="7" s="1"/>
  <c r="F433" i="5"/>
  <c r="G433" i="5" s="1"/>
  <c r="E79" i="7" s="1"/>
  <c r="F434" i="5"/>
  <c r="G434" i="5" s="1"/>
  <c r="E80" i="7" s="1"/>
  <c r="F435" i="5"/>
  <c r="G435" i="5" s="1"/>
  <c r="E81" i="7" s="1"/>
  <c r="F436" i="5"/>
  <c r="G436" i="5" s="1"/>
  <c r="E82" i="7" s="1"/>
  <c r="F437" i="5"/>
  <c r="G437" i="5" s="1"/>
  <c r="E83" i="7" s="1"/>
  <c r="F438" i="5"/>
  <c r="F439" i="5"/>
  <c r="G439" i="5" s="1"/>
  <c r="E85" i="7" s="1"/>
  <c r="F440" i="5"/>
  <c r="F441" i="5"/>
  <c r="G441" i="5" s="1"/>
  <c r="E87" i="7" s="1"/>
  <c r="F432" i="5"/>
  <c r="F355" i="5"/>
  <c r="G355" i="5" s="1"/>
  <c r="E61" i="7" s="1"/>
  <c r="F356" i="5"/>
  <c r="F357" i="5"/>
  <c r="F358" i="5"/>
  <c r="G358" i="5" s="1"/>
  <c r="E64" i="7" s="1"/>
  <c r="F359" i="5"/>
  <c r="G359" i="5" s="1"/>
  <c r="E65" i="7" s="1"/>
  <c r="F360" i="5"/>
  <c r="G360" i="5" s="1"/>
  <c r="E66" i="7" s="1"/>
  <c r="F361" i="5"/>
  <c r="G361" i="5" s="1"/>
  <c r="E67" i="7" s="1"/>
  <c r="F362" i="5"/>
  <c r="G362" i="5" s="1"/>
  <c r="E68" i="7" s="1"/>
  <c r="F363" i="5"/>
  <c r="G363" i="5" s="1"/>
  <c r="E69" i="7" s="1"/>
  <c r="F364" i="5"/>
  <c r="F365" i="5"/>
  <c r="G365" i="5" s="1"/>
  <c r="E71" i="7" s="1"/>
  <c r="F366" i="5"/>
  <c r="F354" i="5"/>
  <c r="G354" i="5" s="1"/>
  <c r="E60" i="7" s="1"/>
  <c r="F581" i="5"/>
  <c r="G581" i="5" s="1"/>
  <c r="E109" i="7" s="1"/>
  <c r="F582" i="5"/>
  <c r="G582" i="5" s="1"/>
  <c r="E110" i="7" s="1"/>
  <c r="F583" i="5"/>
  <c r="G583" i="5" s="1"/>
  <c r="E111" i="7" s="1"/>
  <c r="F584" i="5"/>
  <c r="G584" i="5" s="1"/>
  <c r="E112" i="7" s="1"/>
  <c r="F585" i="5"/>
  <c r="G585" i="5" s="1"/>
  <c r="E113" i="7" s="1"/>
  <c r="F586" i="5"/>
  <c r="G586" i="5" s="1"/>
  <c r="E114" i="7" s="1"/>
  <c r="F587" i="5"/>
  <c r="G587" i="5" s="1"/>
  <c r="E115" i="7" s="1"/>
  <c r="F588" i="5"/>
  <c r="F589" i="5"/>
  <c r="F580" i="5"/>
  <c r="G580" i="5" s="1"/>
  <c r="E108" i="7" s="1"/>
  <c r="J901" i="5"/>
  <c r="K901" i="5" s="1"/>
  <c r="G149" i="7" s="1"/>
  <c r="J902" i="5"/>
  <c r="J904" i="5"/>
  <c r="K904" i="5" s="1"/>
  <c r="G152" i="7" s="1"/>
  <c r="J905" i="5"/>
  <c r="K905" i="5" s="1"/>
  <c r="G153" i="7" s="1"/>
  <c r="J906" i="5"/>
  <c r="K906" i="5" s="1"/>
  <c r="G154" i="7" s="1"/>
  <c r="J899" i="5"/>
  <c r="K899" i="5" s="1"/>
  <c r="G147" i="7" s="1"/>
  <c r="H901" i="5"/>
  <c r="I901" i="5" s="1"/>
  <c r="F149" i="7" s="1"/>
  <c r="H902" i="5"/>
  <c r="I902" i="5" s="1"/>
  <c r="F150" i="7" s="1"/>
  <c r="H904" i="5"/>
  <c r="I904" i="5" s="1"/>
  <c r="F152" i="7" s="1"/>
  <c r="H905" i="5"/>
  <c r="H906" i="5"/>
  <c r="I906" i="5" s="1"/>
  <c r="F154" i="7" s="1"/>
  <c r="H899" i="5"/>
  <c r="I899" i="5" s="1"/>
  <c r="F147" i="7" s="1"/>
  <c r="D902" i="5"/>
  <c r="E902" i="5" s="1"/>
  <c r="D150" i="7" s="1"/>
  <c r="F902" i="5"/>
  <c r="G902" i="5" s="1"/>
  <c r="E150" i="7" s="1"/>
  <c r="K902" i="5"/>
  <c r="G150" i="7" s="1"/>
  <c r="K123" i="7"/>
  <c r="K108" i="7"/>
  <c r="K60" i="7"/>
  <c r="F1114" i="5"/>
  <c r="G1114" i="5" s="1"/>
  <c r="E202" i="7" s="1"/>
  <c r="F1115" i="5"/>
  <c r="G1115" i="5" s="1"/>
  <c r="E203" i="7" s="1"/>
  <c r="F1116" i="5"/>
  <c r="G1116" i="5" s="1"/>
  <c r="E204" i="7" s="1"/>
  <c r="F1117" i="5"/>
  <c r="G1117" i="5" s="1"/>
  <c r="E205" i="7" s="1"/>
  <c r="F1118" i="5"/>
  <c r="G1118" i="5" s="1"/>
  <c r="E206" i="7" s="1"/>
  <c r="F1119" i="5"/>
  <c r="G1119" i="5" s="1"/>
  <c r="E207" i="7" s="1"/>
  <c r="F1120" i="5"/>
  <c r="G1120" i="5" s="1"/>
  <c r="E208" i="7" s="1"/>
  <c r="F1121" i="5"/>
  <c r="G1121" i="5" s="1"/>
  <c r="E209" i="7" s="1"/>
  <c r="F1122" i="5"/>
  <c r="G1122" i="5" s="1"/>
  <c r="E210" i="7" s="1"/>
  <c r="F1113" i="5"/>
  <c r="G1113" i="5" s="1"/>
  <c r="E201" i="7" s="1"/>
  <c r="F1055" i="5"/>
  <c r="G1055" i="5" s="1"/>
  <c r="E195" i="7" s="1"/>
  <c r="F1054" i="5"/>
  <c r="G1054" i="5" s="1"/>
  <c r="E194" i="7" s="1"/>
  <c r="J993" i="5"/>
  <c r="K993" i="5" s="1"/>
  <c r="G187" i="7" s="1"/>
  <c r="H993" i="5"/>
  <c r="I993" i="5" s="1"/>
  <c r="F187" i="7" s="1"/>
  <c r="J994" i="5"/>
  <c r="K994" i="5" s="1"/>
  <c r="G188" i="7" s="1"/>
  <c r="J995" i="5"/>
  <c r="K995" i="5" s="1"/>
  <c r="G189" i="7" s="1"/>
  <c r="H994" i="5"/>
  <c r="I994" i="5" s="1"/>
  <c r="F188" i="7" s="1"/>
  <c r="H995" i="5"/>
  <c r="I995" i="5" s="1"/>
  <c r="F189" i="7" s="1"/>
  <c r="J974" i="5"/>
  <c r="K974" i="5" s="1"/>
  <c r="G168" i="7" s="1"/>
  <c r="J966" i="5"/>
  <c r="K966" i="5" s="1"/>
  <c r="G160" i="7" s="1"/>
  <c r="J967" i="5"/>
  <c r="K967" i="5" s="1"/>
  <c r="G161" i="7" s="1"/>
  <c r="J968" i="5"/>
  <c r="K968" i="5" s="1"/>
  <c r="G162" i="7" s="1"/>
  <c r="J969" i="5"/>
  <c r="K969" i="5" s="1"/>
  <c r="G163" i="7" s="1"/>
  <c r="J970" i="5"/>
  <c r="K970" i="5" s="1"/>
  <c r="G164" i="7" s="1"/>
  <c r="J971" i="5"/>
  <c r="K971" i="5" s="1"/>
  <c r="G165" i="7" s="1"/>
  <c r="J972" i="5"/>
  <c r="K972" i="5" s="1"/>
  <c r="G166" i="7" s="1"/>
  <c r="J973" i="5"/>
  <c r="K973" i="5" s="1"/>
  <c r="G167" i="7" s="1"/>
  <c r="J965" i="5"/>
  <c r="K965" i="5" s="1"/>
  <c r="G159" i="7" s="1"/>
  <c r="H966" i="5"/>
  <c r="I966" i="5" s="1"/>
  <c r="F160" i="7" s="1"/>
  <c r="H967" i="5"/>
  <c r="I967" i="5" s="1"/>
  <c r="F161" i="7" s="1"/>
  <c r="H968" i="5"/>
  <c r="I968" i="5" s="1"/>
  <c r="F162" i="7" s="1"/>
  <c r="H969" i="5"/>
  <c r="I969" i="5" s="1"/>
  <c r="F163" i="7" s="1"/>
  <c r="H970" i="5"/>
  <c r="I970" i="5" s="1"/>
  <c r="F164" i="7" s="1"/>
  <c r="H971" i="5"/>
  <c r="I971" i="5" s="1"/>
  <c r="F165" i="7" s="1"/>
  <c r="H972" i="5"/>
  <c r="I972" i="5" s="1"/>
  <c r="F166" i="7" s="1"/>
  <c r="H973" i="5"/>
  <c r="I973" i="5" s="1"/>
  <c r="F167" i="7" s="1"/>
  <c r="H974" i="5"/>
  <c r="H965" i="5"/>
  <c r="I965" i="5" s="1"/>
  <c r="F159" i="7" s="1"/>
  <c r="J981" i="5"/>
  <c r="K981" i="5" s="1"/>
  <c r="G174" i="7" s="1"/>
  <c r="J982" i="5"/>
  <c r="K982" i="5" s="1"/>
  <c r="G175" i="7" s="1"/>
  <c r="J983" i="5"/>
  <c r="K983" i="5" s="1"/>
  <c r="G176" i="7" s="1"/>
  <c r="J984" i="5"/>
  <c r="K984" i="5" s="1"/>
  <c r="G177" i="7" s="1"/>
  <c r="J985" i="5"/>
  <c r="K985" i="5" s="1"/>
  <c r="G178" i="7" s="1"/>
  <c r="J986" i="5"/>
  <c r="K986" i="5" s="1"/>
  <c r="G179" i="7" s="1"/>
  <c r="J987" i="5"/>
  <c r="K987" i="5" s="1"/>
  <c r="G180" i="7" s="1"/>
  <c r="J988" i="5"/>
  <c r="K988" i="5" s="1"/>
  <c r="G181" i="7" s="1"/>
  <c r="J989" i="5"/>
  <c r="K989" i="5" s="1"/>
  <c r="G182" i="7" s="1"/>
  <c r="J980" i="5"/>
  <c r="K980" i="5" s="1"/>
  <c r="G173" i="7" s="1"/>
  <c r="H981" i="5"/>
  <c r="H982" i="5"/>
  <c r="I982" i="5" s="1"/>
  <c r="F175" i="7" s="1"/>
  <c r="H983" i="5"/>
  <c r="I983" i="5" s="1"/>
  <c r="F176" i="7" s="1"/>
  <c r="H984" i="5"/>
  <c r="I984" i="5" s="1"/>
  <c r="F177" i="7" s="1"/>
  <c r="H985" i="5"/>
  <c r="I985" i="5" s="1"/>
  <c r="F178" i="7" s="1"/>
  <c r="H986" i="5"/>
  <c r="I986" i="5" s="1"/>
  <c r="F179" i="7" s="1"/>
  <c r="H987" i="5"/>
  <c r="H988" i="5"/>
  <c r="I988" i="5" s="1"/>
  <c r="F181" i="7" s="1"/>
  <c r="H989" i="5"/>
  <c r="I989" i="5" s="1"/>
  <c r="F182" i="7" s="1"/>
  <c r="H980" i="5"/>
  <c r="I980" i="5" s="1"/>
  <c r="F173" i="7" s="1"/>
  <c r="F980" i="5"/>
  <c r="G980" i="5" s="1"/>
  <c r="E173" i="7" s="1"/>
  <c r="D980" i="5"/>
  <c r="E980" i="5" s="1"/>
  <c r="D173" i="7" s="1"/>
  <c r="C27" i="6"/>
  <c r="B976" i="5" s="1"/>
  <c r="B170" i="7" s="1"/>
  <c r="F989" i="5"/>
  <c r="G989" i="5" s="1"/>
  <c r="E182" i="7" s="1"/>
  <c r="D989" i="5"/>
  <c r="E989" i="5" s="1"/>
  <c r="D182" i="7" s="1"/>
  <c r="F988" i="5"/>
  <c r="G988" i="5" s="1"/>
  <c r="E181" i="7" s="1"/>
  <c r="D988" i="5"/>
  <c r="E988" i="5" s="1"/>
  <c r="D181" i="7" s="1"/>
  <c r="I987" i="5"/>
  <c r="F180" i="7" s="1"/>
  <c r="F987" i="5"/>
  <c r="G987" i="5" s="1"/>
  <c r="E180" i="7" s="1"/>
  <c r="D987" i="5"/>
  <c r="E987" i="5" s="1"/>
  <c r="D180" i="7" s="1"/>
  <c r="F986" i="5"/>
  <c r="G986" i="5" s="1"/>
  <c r="E179" i="7" s="1"/>
  <c r="D986" i="5"/>
  <c r="E986" i="5" s="1"/>
  <c r="D179" i="7" s="1"/>
  <c r="F985" i="5"/>
  <c r="G985" i="5" s="1"/>
  <c r="E178" i="7" s="1"/>
  <c r="D985" i="5"/>
  <c r="E985" i="5" s="1"/>
  <c r="D178" i="7" s="1"/>
  <c r="F984" i="5"/>
  <c r="G984" i="5" s="1"/>
  <c r="E177" i="7" s="1"/>
  <c r="D984" i="5"/>
  <c r="E984" i="5" s="1"/>
  <c r="D177" i="7" s="1"/>
  <c r="F983" i="5"/>
  <c r="G983" i="5" s="1"/>
  <c r="E176" i="7" s="1"/>
  <c r="D983" i="5"/>
  <c r="E983" i="5" s="1"/>
  <c r="D176" i="7" s="1"/>
  <c r="F982" i="5"/>
  <c r="G982" i="5" s="1"/>
  <c r="E175" i="7" s="1"/>
  <c r="D982" i="5"/>
  <c r="E982" i="5" s="1"/>
  <c r="D175" i="7" s="1"/>
  <c r="I981" i="5"/>
  <c r="F174" i="7" s="1"/>
  <c r="F981" i="5"/>
  <c r="G981" i="5" s="1"/>
  <c r="E174" i="7" s="1"/>
  <c r="D981" i="5"/>
  <c r="E981" i="5" s="1"/>
  <c r="D174" i="7" s="1"/>
  <c r="I974" i="5"/>
  <c r="F168" i="7" s="1"/>
  <c r="I905" i="5"/>
  <c r="F153" i="7" s="1"/>
  <c r="G840" i="5"/>
  <c r="E142" i="7" s="1"/>
  <c r="G770" i="5"/>
  <c r="E131" i="7" s="1"/>
  <c r="G772" i="5"/>
  <c r="E133" i="7" s="1"/>
  <c r="G773" i="5"/>
  <c r="E134" i="7" s="1"/>
  <c r="G776" i="5"/>
  <c r="E137" i="7" s="1"/>
  <c r="G657" i="5"/>
  <c r="E125" i="7" s="1"/>
  <c r="G588" i="5"/>
  <c r="E116" i="7" s="1"/>
  <c r="G589" i="5"/>
  <c r="G508" i="5"/>
  <c r="E95" i="7" s="1"/>
  <c r="G510" i="5"/>
  <c r="E97" i="7" s="1"/>
  <c r="G512" i="5"/>
  <c r="E99" i="7" s="1"/>
  <c r="G514" i="5"/>
  <c r="E101" i="7" s="1"/>
  <c r="G432" i="5"/>
  <c r="E78" i="7" s="1"/>
  <c r="G438" i="5"/>
  <c r="E84" i="7" s="1"/>
  <c r="G440" i="5"/>
  <c r="E86" i="7" s="1"/>
  <c r="G356" i="5"/>
  <c r="E62" i="7" s="1"/>
  <c r="G357" i="5"/>
  <c r="E63" i="7" s="1"/>
  <c r="G364" i="5"/>
  <c r="E70" i="7" s="1"/>
  <c r="G366" i="5"/>
  <c r="E72" i="7" s="1"/>
  <c r="F188" i="5"/>
  <c r="G188" i="5" s="1"/>
  <c r="E48" i="7" s="1"/>
  <c r="F189" i="5"/>
  <c r="G189" i="5" s="1"/>
  <c r="E49" i="7" s="1"/>
  <c r="F190" i="5"/>
  <c r="G190" i="5" s="1"/>
  <c r="E50" i="7" s="1"/>
  <c r="F191" i="5"/>
  <c r="G191" i="5" s="1"/>
  <c r="E51" i="7" s="1"/>
  <c r="F192" i="5"/>
  <c r="G192" i="5" s="1"/>
  <c r="E52" i="7" s="1"/>
  <c r="F193" i="5"/>
  <c r="G193" i="5" s="1"/>
  <c r="E53" i="7" s="1"/>
  <c r="F187" i="5"/>
  <c r="G187" i="5" s="1"/>
  <c r="E47" i="7" s="1"/>
  <c r="D1055" i="5"/>
  <c r="E1055" i="5" s="1"/>
  <c r="D195" i="7" s="1"/>
  <c r="D1054" i="5"/>
  <c r="E1054" i="5" s="1"/>
  <c r="D194" i="7" s="1"/>
  <c r="F995" i="5"/>
  <c r="G995" i="5" s="1"/>
  <c r="E189" i="7" s="1"/>
  <c r="F994" i="5"/>
  <c r="G994" i="5" s="1"/>
  <c r="E188" i="7" s="1"/>
  <c r="F993" i="5"/>
  <c r="G993" i="5" s="1"/>
  <c r="E187" i="7" s="1"/>
  <c r="C33" i="6"/>
  <c r="B220" i="7" s="1"/>
  <c r="C32" i="6"/>
  <c r="B1192" i="5" s="1"/>
  <c r="P1246" i="5" s="1"/>
  <c r="B31" i="6"/>
  <c r="C28" i="6"/>
  <c r="B1050" i="5" s="1"/>
  <c r="C26" i="6"/>
  <c r="B961" i="5" s="1"/>
  <c r="C25" i="6"/>
  <c r="B895" i="5" s="1"/>
  <c r="B24" i="6"/>
  <c r="C22" i="6"/>
  <c r="B139" i="7" s="1"/>
  <c r="B21" i="6"/>
  <c r="C19" i="6"/>
  <c r="B765" i="5" s="1"/>
  <c r="C18" i="6"/>
  <c r="B650" i="5" s="1"/>
  <c r="C17" i="6"/>
  <c r="B575" i="5" s="1"/>
  <c r="C16" i="6"/>
  <c r="B501" i="5" s="1"/>
  <c r="B89" i="7" s="1"/>
  <c r="C15" i="6"/>
  <c r="B427" i="5" s="1"/>
  <c r="C14" i="6"/>
  <c r="B56" i="7" s="1"/>
  <c r="C13" i="6"/>
  <c r="B182" i="5" s="1"/>
  <c r="D4" i="6"/>
  <c r="B8" i="6"/>
  <c r="B135" i="7"/>
  <c r="B136" i="7"/>
  <c r="B124" i="7"/>
  <c r="B123" i="7"/>
  <c r="B110" i="7"/>
  <c r="B111" i="7"/>
  <c r="B112" i="7"/>
  <c r="B113" i="7"/>
  <c r="B114" i="7"/>
  <c r="B115" i="7"/>
  <c r="B116" i="7"/>
  <c r="B109" i="7"/>
  <c r="B108" i="7"/>
  <c r="B94" i="7"/>
  <c r="B95" i="7"/>
  <c r="B96" i="7"/>
  <c r="B97" i="7"/>
  <c r="B98" i="7"/>
  <c r="B99" i="7"/>
  <c r="B100" i="7"/>
  <c r="B101" i="7"/>
  <c r="B102" i="7"/>
  <c r="B93" i="7"/>
  <c r="B83" i="7"/>
  <c r="B84" i="7"/>
  <c r="B85" i="7"/>
  <c r="B86" i="7"/>
  <c r="B68" i="7"/>
  <c r="B69" i="7"/>
  <c r="B70" i="7"/>
  <c r="B71" i="7"/>
  <c r="D774" i="5"/>
  <c r="E774" i="5" s="1"/>
  <c r="D135" i="7" s="1"/>
  <c r="D775" i="5"/>
  <c r="E775" i="5" s="1"/>
  <c r="D136" i="7" s="1"/>
  <c r="D656" i="5"/>
  <c r="E656" i="5" s="1"/>
  <c r="D124" i="7" s="1"/>
  <c r="D655" i="5"/>
  <c r="E655" i="5" s="1"/>
  <c r="D123" i="7" s="1"/>
  <c r="D585" i="5"/>
  <c r="E585" i="5" s="1"/>
  <c r="D113" i="7" s="1"/>
  <c r="D586" i="5"/>
  <c r="E586" i="5" s="1"/>
  <c r="D114" i="7" s="1"/>
  <c r="D587" i="5"/>
  <c r="E587" i="5" s="1"/>
  <c r="D115" i="7" s="1"/>
  <c r="D588" i="5"/>
  <c r="E588" i="5" s="1"/>
  <c r="D116" i="7" s="1"/>
  <c r="D511" i="5"/>
  <c r="E511" i="5" s="1"/>
  <c r="D98" i="7" s="1"/>
  <c r="D512" i="5"/>
  <c r="E512" i="5" s="1"/>
  <c r="D99" i="7" s="1"/>
  <c r="D513" i="5"/>
  <c r="E513" i="5" s="1"/>
  <c r="D100" i="7" s="1"/>
  <c r="D514" i="5"/>
  <c r="E514" i="5" s="1"/>
  <c r="D101" i="7" s="1"/>
  <c r="D437" i="5"/>
  <c r="E437" i="5" s="1"/>
  <c r="D83" i="7" s="1"/>
  <c r="D438" i="5"/>
  <c r="E438" i="5" s="1"/>
  <c r="D84" i="7" s="1"/>
  <c r="D439" i="5"/>
  <c r="E439" i="5" s="1"/>
  <c r="D85" i="7" s="1"/>
  <c r="D440" i="5"/>
  <c r="E440" i="5" s="1"/>
  <c r="D86" i="7" s="1"/>
  <c r="D362" i="5"/>
  <c r="E362" i="5" s="1"/>
  <c r="D68" i="7" s="1"/>
  <c r="D363" i="5"/>
  <c r="E363" i="5" s="1"/>
  <c r="D69" i="7" s="1"/>
  <c r="D364" i="5"/>
  <c r="E364" i="5" s="1"/>
  <c r="D70" i="7" s="1"/>
  <c r="D365" i="5"/>
  <c r="E365" i="5" s="1"/>
  <c r="D71" i="7" s="1"/>
  <c r="B137" i="7"/>
  <c r="B134" i="7"/>
  <c r="B133" i="7"/>
  <c r="B132" i="7"/>
  <c r="B131" i="7"/>
  <c r="B125" i="7"/>
  <c r="B117" i="7"/>
  <c r="K132" i="7"/>
  <c r="K131" i="7"/>
  <c r="K130" i="7"/>
  <c r="K129" i="7"/>
  <c r="K128" i="7"/>
  <c r="D776" i="5"/>
  <c r="E776" i="5" s="1"/>
  <c r="D137" i="7" s="1"/>
  <c r="D773" i="5"/>
  <c r="E773" i="5" s="1"/>
  <c r="D134" i="7" s="1"/>
  <c r="D772" i="5"/>
  <c r="E772" i="5" s="1"/>
  <c r="D133" i="7" s="1"/>
  <c r="D771" i="5"/>
  <c r="E771" i="5" s="1"/>
  <c r="D132" i="7" s="1"/>
  <c r="D770" i="5"/>
  <c r="E770" i="5" s="1"/>
  <c r="D131" i="7" s="1"/>
  <c r="K125" i="7"/>
  <c r="K124" i="7"/>
  <c r="K122" i="7"/>
  <c r="K121" i="7"/>
  <c r="K120" i="7"/>
  <c r="D657" i="5"/>
  <c r="E657" i="5" s="1"/>
  <c r="D125" i="7" s="1"/>
  <c r="K110" i="7"/>
  <c r="K109" i="7"/>
  <c r="K107" i="7"/>
  <c r="K106" i="7"/>
  <c r="K105" i="7"/>
  <c r="D589" i="5"/>
  <c r="E589" i="5" s="1"/>
  <c r="D584" i="5"/>
  <c r="E584" i="5" s="1"/>
  <c r="D112" i="7" s="1"/>
  <c r="D583" i="5"/>
  <c r="E583" i="5" s="1"/>
  <c r="D111" i="7" s="1"/>
  <c r="D582" i="5"/>
  <c r="E582" i="5" s="1"/>
  <c r="D110" i="7" s="1"/>
  <c r="D581" i="5"/>
  <c r="E581" i="5" s="1"/>
  <c r="D109" i="7" s="1"/>
  <c r="D580" i="5"/>
  <c r="E580" i="5" s="1"/>
  <c r="D108" i="7" s="1"/>
  <c r="K94" i="7"/>
  <c r="K93" i="7"/>
  <c r="K92" i="7"/>
  <c r="K91" i="7"/>
  <c r="K90" i="7"/>
  <c r="D515" i="5"/>
  <c r="E515" i="5" s="1"/>
  <c r="D102" i="7" s="1"/>
  <c r="D510" i="5"/>
  <c r="E510" i="5" s="1"/>
  <c r="D97" i="7" s="1"/>
  <c r="D509" i="5"/>
  <c r="E509" i="5" s="1"/>
  <c r="D96" i="7" s="1"/>
  <c r="D508" i="5"/>
  <c r="E508" i="5" s="1"/>
  <c r="D95" i="7" s="1"/>
  <c r="D507" i="5"/>
  <c r="E507" i="5" s="1"/>
  <c r="D94" i="7" s="1"/>
  <c r="D506" i="5"/>
  <c r="E506" i="5" s="1"/>
  <c r="D93" i="7" s="1"/>
  <c r="D192" i="7"/>
  <c r="F906" i="5"/>
  <c r="G906" i="5" s="1"/>
  <c r="E154" i="7" s="1"/>
  <c r="D906" i="5"/>
  <c r="E906" i="5" s="1"/>
  <c r="D154" i="7" s="1"/>
  <c r="F905" i="5"/>
  <c r="G905" i="5" s="1"/>
  <c r="E153" i="7" s="1"/>
  <c r="D905" i="5"/>
  <c r="E905" i="5" s="1"/>
  <c r="D153" i="7" s="1"/>
  <c r="F904" i="5"/>
  <c r="G904" i="5" s="1"/>
  <c r="E152" i="7" s="1"/>
  <c r="D904" i="5"/>
  <c r="E904" i="5" s="1"/>
  <c r="D152" i="7" s="1"/>
  <c r="D1123" i="5"/>
  <c r="D992" i="5"/>
  <c r="D994" i="5"/>
  <c r="E994" i="5" s="1"/>
  <c r="D188" i="7" s="1"/>
  <c r="F967" i="5"/>
  <c r="G967" i="5" s="1"/>
  <c r="E161" i="7" s="1"/>
  <c r="D967" i="5"/>
  <c r="E967" i="5" s="1"/>
  <c r="D161" i="7" s="1"/>
  <c r="C1" i="5"/>
  <c r="K79" i="7"/>
  <c r="K78" i="7"/>
  <c r="K77" i="7"/>
  <c r="K76" i="7"/>
  <c r="D441" i="5"/>
  <c r="E441" i="5" s="1"/>
  <c r="D87" i="7" s="1"/>
  <c r="B87" i="7"/>
  <c r="D436" i="5"/>
  <c r="E436" i="5" s="1"/>
  <c r="D82" i="7" s="1"/>
  <c r="B82" i="7"/>
  <c r="D435" i="5"/>
  <c r="E435" i="5" s="1"/>
  <c r="D81" i="7" s="1"/>
  <c r="B81" i="7"/>
  <c r="D434" i="5"/>
  <c r="E434" i="5" s="1"/>
  <c r="D80" i="7" s="1"/>
  <c r="B80" i="7"/>
  <c r="D433" i="5"/>
  <c r="E433" i="5" s="1"/>
  <c r="D79" i="7" s="1"/>
  <c r="B79" i="7"/>
  <c r="K62" i="7"/>
  <c r="K61" i="7"/>
  <c r="K59" i="7"/>
  <c r="K58" i="7"/>
  <c r="D366" i="5"/>
  <c r="E366" i="5" s="1"/>
  <c r="D72" i="7" s="1"/>
  <c r="B72" i="7"/>
  <c r="D361" i="5"/>
  <c r="E361" i="5" s="1"/>
  <c r="D67" i="7" s="1"/>
  <c r="B67" i="7"/>
  <c r="D360" i="5"/>
  <c r="E360" i="5" s="1"/>
  <c r="D66" i="7" s="1"/>
  <c r="B66" i="7"/>
  <c r="D359" i="5"/>
  <c r="E359" i="5" s="1"/>
  <c r="D65" i="7" s="1"/>
  <c r="B65" i="7"/>
  <c r="D358" i="5"/>
  <c r="E358" i="5" s="1"/>
  <c r="D64" i="7" s="1"/>
  <c r="B64" i="7"/>
  <c r="D357" i="5"/>
  <c r="E357" i="5" s="1"/>
  <c r="D63" i="7" s="1"/>
  <c r="B63" i="7"/>
  <c r="D356" i="5"/>
  <c r="E356" i="5" s="1"/>
  <c r="D62" i="7" s="1"/>
  <c r="B62" i="7"/>
  <c r="D355" i="5"/>
  <c r="E355" i="5" s="1"/>
  <c r="D61" i="7" s="1"/>
  <c r="B61" i="7"/>
  <c r="D201" i="5"/>
  <c r="E201" i="5" s="1"/>
  <c r="K48" i="7" s="1"/>
  <c r="D200" i="5"/>
  <c r="E200" i="5" s="1"/>
  <c r="K47" i="7" s="1"/>
  <c r="D199" i="5"/>
  <c r="E199" i="5" s="1"/>
  <c r="K46" i="7" s="1"/>
  <c r="D198" i="5"/>
  <c r="E198" i="5" s="1"/>
  <c r="K45" i="7" s="1"/>
  <c r="D193" i="5"/>
  <c r="E193" i="5" s="1"/>
  <c r="D53" i="7" s="1"/>
  <c r="B53" i="7"/>
  <c r="D192" i="5"/>
  <c r="E192" i="5" s="1"/>
  <c r="D52" i="7" s="1"/>
  <c r="B52" i="7"/>
  <c r="D191" i="5"/>
  <c r="E191" i="5" s="1"/>
  <c r="D51" i="7" s="1"/>
  <c r="B51" i="7"/>
  <c r="D190" i="5"/>
  <c r="E190" i="5" s="1"/>
  <c r="D50" i="7" s="1"/>
  <c r="B50" i="7"/>
  <c r="D189" i="5"/>
  <c r="E189" i="5" s="1"/>
  <c r="D49" i="7" s="1"/>
  <c r="B49" i="7"/>
  <c r="D188" i="5"/>
  <c r="E188" i="5" s="1"/>
  <c r="D48" i="7" s="1"/>
  <c r="B48" i="7"/>
  <c r="D1195" i="5"/>
  <c r="F1195" i="5"/>
  <c r="H1195" i="5"/>
  <c r="I1195" i="5" s="1"/>
  <c r="F214" i="7" s="1"/>
  <c r="D1196" i="5"/>
  <c r="F1196" i="5"/>
  <c r="H1196" i="5"/>
  <c r="I1196" i="5" s="1"/>
  <c r="F215" i="7" s="1"/>
  <c r="D1127" i="5"/>
  <c r="E1127" i="5" s="1"/>
  <c r="K199" i="7" s="1"/>
  <c r="D1126" i="5"/>
  <c r="E1126" i="5" s="1"/>
  <c r="K198" i="7" s="1"/>
  <c r="K75" i="7"/>
  <c r="K57" i="7"/>
  <c r="D1252" i="5"/>
  <c r="E1252" i="5" s="1"/>
  <c r="D225" i="7" s="1"/>
  <c r="D1251" i="5"/>
  <c r="E1251" i="5" s="1"/>
  <c r="D224" i="7" s="1"/>
  <c r="D1250" i="5"/>
  <c r="E1250" i="5" s="1"/>
  <c r="D223" i="7" s="1"/>
  <c r="D1249" i="5"/>
  <c r="E1249" i="5" s="1"/>
  <c r="D222" i="7" s="1"/>
  <c r="H1199" i="5"/>
  <c r="I1199" i="5" s="1"/>
  <c r="F218" i="7" s="1"/>
  <c r="H1198" i="5"/>
  <c r="I1198" i="5" s="1"/>
  <c r="F217" i="7" s="1"/>
  <c r="H1197" i="5"/>
  <c r="F1199" i="5"/>
  <c r="F1198" i="5"/>
  <c r="G1198" i="5" s="1"/>
  <c r="E217" i="7" s="1"/>
  <c r="F1197" i="5"/>
  <c r="G1197" i="5" s="1"/>
  <c r="E216" i="7" s="1"/>
  <c r="D1199" i="5"/>
  <c r="D1198" i="5"/>
  <c r="D1197" i="5"/>
  <c r="D1114" i="5"/>
  <c r="E1114" i="5" s="1"/>
  <c r="D202" i="7" s="1"/>
  <c r="D1113" i="5"/>
  <c r="E1113" i="5" s="1"/>
  <c r="D201" i="7" s="1"/>
  <c r="F966" i="5"/>
  <c r="G966" i="5" s="1"/>
  <c r="E160" i="7" s="1"/>
  <c r="F965" i="5"/>
  <c r="G965" i="5" s="1"/>
  <c r="E159" i="7" s="1"/>
  <c r="D995" i="5"/>
  <c r="E995" i="5" s="1"/>
  <c r="D189" i="7" s="1"/>
  <c r="D993" i="5"/>
  <c r="E993" i="5" s="1"/>
  <c r="D187" i="7" s="1"/>
  <c r="D968" i="5"/>
  <c r="E968" i="5" s="1"/>
  <c r="D162" i="7" s="1"/>
  <c r="D966" i="5"/>
  <c r="E966" i="5" s="1"/>
  <c r="D160" i="7" s="1"/>
  <c r="D965" i="5"/>
  <c r="E965" i="5" s="1"/>
  <c r="D159" i="7" s="1"/>
  <c r="F901" i="5"/>
  <c r="G901" i="5" s="1"/>
  <c r="E149" i="7" s="1"/>
  <c r="F899" i="5"/>
  <c r="G899" i="5" s="1"/>
  <c r="E147" i="7" s="1"/>
  <c r="D910" i="5"/>
  <c r="E910" i="5" s="1"/>
  <c r="K145" i="7" s="1"/>
  <c r="D901" i="5"/>
  <c r="E901" i="5" s="1"/>
  <c r="D149" i="7" s="1"/>
  <c r="D899" i="5"/>
  <c r="E899" i="5" s="1"/>
  <c r="D147" i="7" s="1"/>
  <c r="D844" i="5"/>
  <c r="E844" i="5" s="1"/>
  <c r="K140" i="7" s="1"/>
  <c r="D840" i="5"/>
  <c r="E840" i="5" s="1"/>
  <c r="D142" i="7" s="1"/>
  <c r="D432" i="5"/>
  <c r="E432" i="5" s="1"/>
  <c r="D78" i="7" s="1"/>
  <c r="D354" i="5"/>
  <c r="E354" i="5" s="1"/>
  <c r="D60" i="7" s="1"/>
  <c r="D202" i="5"/>
  <c r="D197" i="5"/>
  <c r="E197" i="5" s="1"/>
  <c r="K44" i="7" s="1"/>
  <c r="D187" i="5"/>
  <c r="E187" i="5" s="1"/>
  <c r="D47" i="7" s="1"/>
  <c r="J4" i="7"/>
  <c r="J3" i="7"/>
  <c r="J2" i="7"/>
  <c r="C29" i="6"/>
  <c r="B1108" i="5" s="1"/>
  <c r="B47" i="7"/>
  <c r="B78" i="7"/>
  <c r="B60" i="7"/>
  <c r="D1116" i="5"/>
  <c r="E1116" i="5" s="1"/>
  <c r="D204" i="7" s="1"/>
  <c r="D1115" i="5"/>
  <c r="E1115" i="5" s="1"/>
  <c r="D203" i="7" s="1"/>
  <c r="F968" i="5"/>
  <c r="G968" i="5" s="1"/>
  <c r="E162" i="7" s="1"/>
  <c r="F970" i="5"/>
  <c r="G970" i="5" s="1"/>
  <c r="E164" i="7" s="1"/>
  <c r="F969" i="5"/>
  <c r="G969" i="5" s="1"/>
  <c r="E163" i="7" s="1"/>
  <c r="D969" i="5"/>
  <c r="E969" i="5" s="1"/>
  <c r="D163" i="7" s="1"/>
  <c r="D1117" i="5"/>
  <c r="E1117" i="5" s="1"/>
  <c r="D205" i="7" s="1"/>
  <c r="F971" i="5"/>
  <c r="G971" i="5" s="1"/>
  <c r="E165" i="7" s="1"/>
  <c r="D970" i="5"/>
  <c r="E970" i="5" s="1"/>
  <c r="D164" i="7" s="1"/>
  <c r="D1118" i="5"/>
  <c r="E1118" i="5" s="1"/>
  <c r="D206" i="7" s="1"/>
  <c r="F972" i="5"/>
  <c r="G972" i="5" s="1"/>
  <c r="E166" i="7" s="1"/>
  <c r="D971" i="5"/>
  <c r="E971" i="5" s="1"/>
  <c r="D165" i="7" s="1"/>
  <c r="D1119" i="5"/>
  <c r="E1119" i="5" s="1"/>
  <c r="D207" i="7" s="1"/>
  <c r="F974" i="5"/>
  <c r="G974" i="5" s="1"/>
  <c r="E168" i="7" s="1"/>
  <c r="F973" i="5"/>
  <c r="G973" i="5" s="1"/>
  <c r="E167" i="7" s="1"/>
  <c r="D972" i="5"/>
  <c r="E972" i="5" s="1"/>
  <c r="D166" i="7" s="1"/>
  <c r="D1120" i="5"/>
  <c r="E1120" i="5" s="1"/>
  <c r="D208" i="7" s="1"/>
  <c r="D973" i="5"/>
  <c r="E973" i="5" s="1"/>
  <c r="D167" i="7" s="1"/>
  <c r="D1121" i="5"/>
  <c r="E1121" i="5" s="1"/>
  <c r="D209" i="7" s="1"/>
  <c r="D1122" i="5"/>
  <c r="E1122" i="5" s="1"/>
  <c r="D210" i="7" s="1"/>
  <c r="D974" i="5"/>
  <c r="E974" i="5" s="1"/>
  <c r="D168" i="7" s="1"/>
  <c r="B836" i="5"/>
  <c r="C184" i="5"/>
  <c r="C44" i="7" s="1"/>
  <c r="B1250" i="5"/>
  <c r="B223" i="7" s="1"/>
  <c r="B1195" i="5"/>
  <c r="B214" i="7" s="1"/>
  <c r="B969" i="5"/>
  <c r="B163" i="7" s="1"/>
  <c r="B184" i="5"/>
  <c r="B44" i="7" s="1"/>
  <c r="C504" i="5"/>
  <c r="C91" i="7" s="1"/>
  <c r="P786" i="5"/>
  <c r="D767" i="5"/>
  <c r="D128" i="7" s="1"/>
  <c r="B963" i="5"/>
  <c r="B157" i="7" s="1"/>
  <c r="J129" i="7"/>
  <c r="B973" i="5"/>
  <c r="B167" i="7" s="1"/>
  <c r="D897" i="5"/>
  <c r="D145" i="7" s="1"/>
  <c r="B1196" i="5"/>
  <c r="B215" i="7" s="1"/>
  <c r="H7" i="5"/>
  <c r="B995" i="5"/>
  <c r="B189" i="7" s="1"/>
  <c r="J58" i="7"/>
  <c r="D898" i="5"/>
  <c r="D146" i="7" s="1"/>
  <c r="C838" i="5"/>
  <c r="C140" i="7" s="1"/>
  <c r="C963" i="5"/>
  <c r="C157" i="7" s="1"/>
  <c r="F1110" i="5"/>
  <c r="E198" i="7" s="1"/>
  <c r="B980" i="5"/>
  <c r="B173" i="7" s="1"/>
  <c r="B987" i="5"/>
  <c r="B180" i="7" s="1"/>
  <c r="F577" i="5"/>
  <c r="E105" i="7" s="1"/>
  <c r="J964" i="5"/>
  <c r="G158" i="7" s="1"/>
  <c r="F653" i="5"/>
  <c r="E1199" i="5" l="1"/>
  <c r="D218" i="7" s="1"/>
  <c r="E1195" i="5"/>
  <c r="D214" i="7" s="1"/>
  <c r="E1197" i="5"/>
  <c r="D216" i="7" s="1"/>
  <c r="E1196" i="5"/>
  <c r="D215" i="7" s="1"/>
  <c r="B25" i="5"/>
  <c r="J14" i="7" s="1"/>
  <c r="E150" i="5"/>
  <c r="B146" i="5"/>
  <c r="B142" i="5"/>
  <c r="B95" i="5"/>
  <c r="E65" i="5"/>
  <c r="K23" i="7" s="1"/>
  <c r="B63" i="5"/>
  <c r="B60" i="5"/>
  <c r="B148" i="5"/>
  <c r="E99" i="5"/>
  <c r="B147" i="5"/>
  <c r="B150" i="5"/>
  <c r="B145" i="5"/>
  <c r="B97" i="5"/>
  <c r="B94" i="5"/>
  <c r="B65" i="5"/>
  <c r="B62" i="5"/>
  <c r="B59" i="5"/>
  <c r="J17" i="7" s="1"/>
  <c r="B149" i="5"/>
  <c r="B96" i="5"/>
  <c r="B93" i="5"/>
  <c r="B64" i="5"/>
  <c r="B61" i="5"/>
  <c r="P66" i="5"/>
  <c r="B144" i="5"/>
  <c r="B98" i="5"/>
  <c r="B91" i="5"/>
  <c r="B99" i="5"/>
  <c r="B57" i="5"/>
  <c r="F579" i="5"/>
  <c r="R7" i="5"/>
  <c r="J109" i="7"/>
  <c r="B985" i="5"/>
  <c r="B178" i="7" s="1"/>
  <c r="Q8" i="5"/>
  <c r="D963" i="5"/>
  <c r="D157" i="7" s="1"/>
  <c r="H898" i="5"/>
  <c r="F146" i="7" s="1"/>
  <c r="B997" i="5"/>
  <c r="B1112" i="5"/>
  <c r="B200" i="7" s="1"/>
  <c r="J77" i="7"/>
  <c r="C652" i="5"/>
  <c r="C120" i="7" s="1"/>
  <c r="B903" i="5"/>
  <c r="B151" i="7" s="1"/>
  <c r="B1246" i="5"/>
  <c r="F185" i="5"/>
  <c r="E45" i="7" s="1"/>
  <c r="B978" i="5"/>
  <c r="B171" i="7" s="1"/>
  <c r="B652" i="5"/>
  <c r="B120" i="7" s="1"/>
  <c r="J105" i="7"/>
  <c r="J61" i="7"/>
  <c r="D964" i="5"/>
  <c r="D158" i="7" s="1"/>
  <c r="B1052" i="5"/>
  <c r="B192" i="7" s="1"/>
  <c r="B974" i="5"/>
  <c r="B168" i="7" s="1"/>
  <c r="J124" i="7"/>
  <c r="D577" i="5"/>
  <c r="D105" i="7" s="1"/>
  <c r="C1" i="7"/>
  <c r="K1" i="7" s="1"/>
  <c r="B144" i="7"/>
  <c r="P151" i="5"/>
  <c r="P100" i="5"/>
  <c r="F505" i="5"/>
  <c r="H897" i="5"/>
  <c r="F145" i="7" s="1"/>
  <c r="F504" i="5"/>
  <c r="H964" i="5"/>
  <c r="F158" i="7" s="1"/>
  <c r="F578" i="5"/>
  <c r="F186" i="5"/>
  <c r="E46" i="7" s="1"/>
  <c r="F839" i="5"/>
  <c r="E141" i="7" s="1"/>
  <c r="F431" i="5"/>
  <c r="E77" i="7" s="1"/>
  <c r="B986" i="5"/>
  <c r="B179" i="7" s="1"/>
  <c r="B983" i="5"/>
  <c r="B176" i="7" s="1"/>
  <c r="B1115" i="5"/>
  <c r="B203" i="7" s="1"/>
  <c r="B199" i="5"/>
  <c r="J46" i="7" s="1"/>
  <c r="D979" i="5"/>
  <c r="D172" i="7" s="1"/>
  <c r="B981" i="5"/>
  <c r="B174" i="7" s="1"/>
  <c r="F1111" i="5"/>
  <c r="E199" i="7" s="1"/>
  <c r="J126" i="7"/>
  <c r="C353" i="5"/>
  <c r="C59" i="7" s="1"/>
  <c r="J80" i="7"/>
  <c r="J62" i="7"/>
  <c r="B1122" i="5"/>
  <c r="B210" i="7" s="1"/>
  <c r="C579" i="5"/>
  <c r="C107" i="7" s="1"/>
  <c r="B910" i="5"/>
  <c r="J145" i="7" s="1"/>
  <c r="B1117" i="5"/>
  <c r="B205" i="7" s="1"/>
  <c r="B1199" i="5"/>
  <c r="B218" i="7" s="1"/>
  <c r="B1116" i="5"/>
  <c r="B204" i="7" s="1"/>
  <c r="B1194" i="5"/>
  <c r="B213" i="7" s="1"/>
  <c r="D839" i="5"/>
  <c r="D141" i="7" s="1"/>
  <c r="B7" i="5"/>
  <c r="B429" i="5"/>
  <c r="B75" i="7" s="1"/>
  <c r="C1111" i="5"/>
  <c r="C199" i="7" s="1"/>
  <c r="D429" i="5"/>
  <c r="D75" i="7" s="1"/>
  <c r="B992" i="5"/>
  <c r="B186" i="7" s="1"/>
  <c r="C964" i="5"/>
  <c r="C158" i="7" s="1"/>
  <c r="B1114" i="5"/>
  <c r="B202" i="7" s="1"/>
  <c r="C1127" i="5"/>
  <c r="J199" i="7" s="1"/>
  <c r="Q2" i="5"/>
  <c r="I2" i="7" s="1"/>
  <c r="F898" i="5"/>
  <c r="E146" i="7" s="1"/>
  <c r="J128" i="7"/>
  <c r="B1127" i="5"/>
  <c r="I199" i="7" s="1"/>
  <c r="D578" i="5"/>
  <c r="D106" i="7" s="1"/>
  <c r="D431" i="5"/>
  <c r="D77" i="7" s="1"/>
  <c r="K8" i="5"/>
  <c r="B1120" i="5"/>
  <c r="B208" i="7" s="1"/>
  <c r="B8" i="5"/>
  <c r="B6" i="7" s="1"/>
  <c r="B970" i="5"/>
  <c r="B164" i="7" s="1"/>
  <c r="J91" i="7"/>
  <c r="B1251" i="5"/>
  <c r="B224" i="7" s="1"/>
  <c r="J95" i="7"/>
  <c r="B1124" i="5"/>
  <c r="D351" i="5"/>
  <c r="D57" i="7" s="1"/>
  <c r="J60" i="7"/>
  <c r="B1249" i="5"/>
  <c r="B222" i="7" s="1"/>
  <c r="K63" i="7"/>
  <c r="J7" i="5"/>
  <c r="P26" i="5"/>
  <c r="B902" i="5"/>
  <c r="B150" i="7" s="1"/>
  <c r="F351" i="5"/>
  <c r="E57" i="7" s="1"/>
  <c r="B1118" i="5"/>
  <c r="B206" i="7" s="1"/>
  <c r="F652" i="5"/>
  <c r="E120" i="7" s="1"/>
  <c r="F769" i="5"/>
  <c r="E130" i="7" s="1"/>
  <c r="F353" i="5"/>
  <c r="E59" i="7" s="1"/>
  <c r="H963" i="5"/>
  <c r="F157" i="7" s="1"/>
  <c r="F654" i="5"/>
  <c r="H979" i="5"/>
  <c r="F172" i="7" s="1"/>
  <c r="C979" i="5"/>
  <c r="C172" i="7" s="1"/>
  <c r="B984" i="5"/>
  <c r="B177" i="7" s="1"/>
  <c r="B989" i="5"/>
  <c r="B182" i="7" s="1"/>
  <c r="D978" i="5"/>
  <c r="D171" i="7" s="1"/>
  <c r="J130" i="7"/>
  <c r="F1053" i="5"/>
  <c r="E193" i="7" s="1"/>
  <c r="H978" i="5"/>
  <c r="F171" i="7" s="1"/>
  <c r="B1119" i="5"/>
  <c r="B207" i="7" s="1"/>
  <c r="B840" i="5"/>
  <c r="B142" i="7" s="1"/>
  <c r="I8" i="5"/>
  <c r="K80" i="7"/>
  <c r="B1198" i="5"/>
  <c r="B217" i="7" s="1"/>
  <c r="C768" i="5"/>
  <c r="C129" i="7" s="1"/>
  <c r="J107" i="7"/>
  <c r="B202" i="5"/>
  <c r="J49" i="7" s="1"/>
  <c r="B906" i="5"/>
  <c r="B154" i="7" s="1"/>
  <c r="F964" i="5"/>
  <c r="E158" i="7" s="1"/>
  <c r="B966" i="5"/>
  <c r="B160" i="7" s="1"/>
  <c r="B1126" i="5"/>
  <c r="I198" i="7" s="1"/>
  <c r="K111" i="7"/>
  <c r="B1121" i="5"/>
  <c r="B209" i="7" s="1"/>
  <c r="C767" i="5"/>
  <c r="C128" i="7" s="1"/>
  <c r="B967" i="5"/>
  <c r="B161" i="7" s="1"/>
  <c r="B1055" i="5"/>
  <c r="B195" i="7" s="1"/>
  <c r="D768" i="5"/>
  <c r="D129" i="7" s="1"/>
  <c r="E202" i="5"/>
  <c r="K49" i="7" s="1"/>
  <c r="D1111" i="5"/>
  <c r="D199" i="7" s="1"/>
  <c r="B767" i="5"/>
  <c r="B128" i="7" s="1"/>
  <c r="C653" i="5"/>
  <c r="C121" i="7" s="1"/>
  <c r="J57" i="7"/>
  <c r="P895" i="5"/>
  <c r="D652" i="5"/>
  <c r="D120" i="7" s="1"/>
  <c r="D185" i="5"/>
  <c r="D45" i="7" s="1"/>
  <c r="C654" i="5"/>
  <c r="C122" i="7" s="1"/>
  <c r="J132" i="7"/>
  <c r="B994" i="5"/>
  <c r="B188" i="7" s="1"/>
  <c r="B968" i="5"/>
  <c r="B162" i="7" s="1"/>
  <c r="J133" i="7"/>
  <c r="J75" i="7"/>
  <c r="J59" i="7"/>
  <c r="D186" i="5"/>
  <c r="D46" i="7" s="1"/>
  <c r="P600" i="5"/>
  <c r="F767" i="5"/>
  <c r="E128" i="7" s="1"/>
  <c r="F430" i="5"/>
  <c r="E76" i="7" s="1"/>
  <c r="F184" i="5"/>
  <c r="E44" i="7" s="1"/>
  <c r="F429" i="5"/>
  <c r="E75" i="7" s="1"/>
  <c r="J898" i="5"/>
  <c r="G146" i="7" s="1"/>
  <c r="F503" i="5"/>
  <c r="E90" i="7" s="1"/>
  <c r="J78" i="7"/>
  <c r="F768" i="5"/>
  <c r="E129" i="7" s="1"/>
  <c r="F352" i="5"/>
  <c r="E58" i="7" s="1"/>
  <c r="B982" i="5"/>
  <c r="B175" i="7" s="1"/>
  <c r="J979" i="5"/>
  <c r="G172" i="7" s="1"/>
  <c r="B988" i="5"/>
  <c r="B181" i="7" s="1"/>
  <c r="C978" i="5"/>
  <c r="C171" i="7" s="1"/>
  <c r="F979" i="5"/>
  <c r="E172" i="7" s="1"/>
  <c r="N7" i="5"/>
  <c r="D430" i="5"/>
  <c r="D76" i="7" s="1"/>
  <c r="F838" i="5"/>
  <c r="E140" i="7" s="1"/>
  <c r="D504" i="5"/>
  <c r="E91" i="7" s="1"/>
  <c r="D579" i="5"/>
  <c r="E107" i="7" s="1"/>
  <c r="C185" i="5"/>
  <c r="C45" i="7" s="1"/>
  <c r="C352" i="5"/>
  <c r="C58" i="7" s="1"/>
  <c r="D353" i="5"/>
  <c r="D59" i="7" s="1"/>
  <c r="C431" i="5"/>
  <c r="C77" i="7" s="1"/>
  <c r="G8" i="5"/>
  <c r="K95" i="7"/>
  <c r="J79" i="7"/>
  <c r="D769" i="5"/>
  <c r="D130" i="7" s="1"/>
  <c r="B1057" i="5"/>
  <c r="I192" i="7" s="1"/>
  <c r="J90" i="7"/>
  <c r="D503" i="5"/>
  <c r="D90" i="7" s="1"/>
  <c r="E2" i="5"/>
  <c r="C897" i="5"/>
  <c r="C145" i="7" s="1"/>
  <c r="F7" i="5"/>
  <c r="J94" i="7"/>
  <c r="B842" i="5"/>
  <c r="B1113" i="5"/>
  <c r="B201" i="7" s="1"/>
  <c r="B901" i="5"/>
  <c r="B149" i="7" s="1"/>
  <c r="B908" i="5"/>
  <c r="K133" i="7"/>
  <c r="C1194" i="5"/>
  <c r="C213" i="7" s="1"/>
  <c r="C898" i="5"/>
  <c r="C146" i="7" s="1"/>
  <c r="C578" i="5"/>
  <c r="C106" i="7" s="1"/>
  <c r="C769" i="5"/>
  <c r="C130" i="7" s="1"/>
  <c r="B195" i="5"/>
  <c r="D352" i="5"/>
  <c r="D58" i="7" s="1"/>
  <c r="B198" i="5"/>
  <c r="J45" i="7" s="1"/>
  <c r="D505" i="5"/>
  <c r="E92" i="7" s="1"/>
  <c r="D654" i="5"/>
  <c r="E122" i="7" s="1"/>
  <c r="C186" i="5"/>
  <c r="C46" i="7" s="1"/>
  <c r="B1054" i="5"/>
  <c r="B194" i="7" s="1"/>
  <c r="O8" i="5"/>
  <c r="B351" i="5"/>
  <c r="B57" i="7" s="1"/>
  <c r="D1053" i="5"/>
  <c r="D193" i="7" s="1"/>
  <c r="J93" i="7"/>
  <c r="B844" i="5"/>
  <c r="J140" i="7" s="1"/>
  <c r="P1200" i="5"/>
  <c r="P961" i="5"/>
  <c r="P845" i="5"/>
  <c r="D137" i="5"/>
  <c r="D36" i="7" s="1"/>
  <c r="B349" i="5"/>
  <c r="P377" i="5" s="1"/>
  <c r="C136" i="5"/>
  <c r="C35" i="7" s="1"/>
  <c r="J36" i="7"/>
  <c r="J41" i="7"/>
  <c r="B156" i="7"/>
  <c r="F138" i="5"/>
  <c r="E37" i="7" s="1"/>
  <c r="B127" i="7"/>
  <c r="P1192" i="5"/>
  <c r="P1058" i="5"/>
  <c r="B74" i="7"/>
  <c r="P501" i="5"/>
  <c r="P1108" i="5"/>
  <c r="B191" i="7"/>
  <c r="P1000" i="5"/>
  <c r="B119" i="7"/>
  <c r="P1050" i="5"/>
  <c r="P911" i="5"/>
  <c r="B136" i="5"/>
  <c r="B35" i="7" s="1"/>
  <c r="C137" i="5"/>
  <c r="C36" i="7" s="1"/>
  <c r="D138" i="5"/>
  <c r="D37" i="7" s="1"/>
  <c r="J37" i="7"/>
  <c r="J39" i="7"/>
  <c r="B212" i="7"/>
  <c r="B43" i="7"/>
  <c r="B197" i="7"/>
  <c r="F136" i="5"/>
  <c r="E35" i="7" s="1"/>
  <c r="C138" i="5"/>
  <c r="C37" i="7" s="1"/>
  <c r="J35" i="7"/>
  <c r="K41" i="7"/>
  <c r="D136" i="5"/>
  <c r="D35" i="7" s="1"/>
  <c r="F137" i="5"/>
  <c r="E36" i="7" s="1"/>
  <c r="J38" i="7"/>
  <c r="J40" i="7"/>
  <c r="B1" i="5"/>
  <c r="D85" i="5"/>
  <c r="D26" i="7" s="1"/>
  <c r="F86" i="5"/>
  <c r="E27" i="7" s="1"/>
  <c r="J29" i="7"/>
  <c r="J31" i="7"/>
  <c r="C85" i="5"/>
  <c r="C26" i="7" s="1"/>
  <c r="D86" i="5"/>
  <c r="D27" i="7" s="1"/>
  <c r="F87" i="5"/>
  <c r="E28" i="7" s="1"/>
  <c r="J27" i="7"/>
  <c r="J32" i="7"/>
  <c r="B85" i="5"/>
  <c r="B26" i="7" s="1"/>
  <c r="C86" i="5"/>
  <c r="C27" i="7" s="1"/>
  <c r="D87" i="5"/>
  <c r="D28" i="7" s="1"/>
  <c r="J28" i="7"/>
  <c r="J30" i="7"/>
  <c r="F85" i="5"/>
  <c r="E26" i="7" s="1"/>
  <c r="C87" i="5"/>
  <c r="C28" i="7" s="1"/>
  <c r="J26" i="7"/>
  <c r="K32" i="7"/>
  <c r="F51" i="5"/>
  <c r="E17" i="7" s="1"/>
  <c r="C53" i="5"/>
  <c r="C19" i="7" s="1"/>
  <c r="J20" i="7"/>
  <c r="D51" i="5"/>
  <c r="D17" i="7" s="1"/>
  <c r="F52" i="5"/>
  <c r="E18" i="7" s="1"/>
  <c r="J18" i="7"/>
  <c r="J23" i="7"/>
  <c r="C51" i="5"/>
  <c r="C17" i="7" s="1"/>
  <c r="D52" i="5"/>
  <c r="D18" i="7" s="1"/>
  <c r="F53" i="5"/>
  <c r="E19" i="7" s="1"/>
  <c r="J21" i="7"/>
  <c r="B51" i="5"/>
  <c r="B17" i="7" s="1"/>
  <c r="C52" i="5"/>
  <c r="C18" i="7" s="1"/>
  <c r="D53" i="5"/>
  <c r="D19" i="7" s="1"/>
  <c r="J19" i="7"/>
  <c r="J22" i="7"/>
  <c r="P525" i="5"/>
  <c r="P451" i="5"/>
  <c r="B22" i="5"/>
  <c r="J11" i="7" s="1"/>
  <c r="P650" i="5"/>
  <c r="O575" i="5"/>
  <c r="B104" i="7"/>
  <c r="E4" i="5"/>
  <c r="D3" i="7" s="1"/>
  <c r="B905" i="5"/>
  <c r="B153" i="7" s="1"/>
  <c r="C577" i="5"/>
  <c r="C105" i="7" s="1"/>
  <c r="C351" i="5"/>
  <c r="C57" i="7" s="1"/>
  <c r="P7" i="5"/>
  <c r="C429" i="5"/>
  <c r="C75" i="7" s="1"/>
  <c r="D653" i="5"/>
  <c r="E121" i="7" s="1"/>
  <c r="C503" i="5"/>
  <c r="C90" i="7" s="1"/>
  <c r="C1126" i="5"/>
  <c r="J198" i="7" s="1"/>
  <c r="D184" i="5"/>
  <c r="D44" i="7" s="1"/>
  <c r="B838" i="5"/>
  <c r="B140" i="7" s="1"/>
  <c r="C505" i="5"/>
  <c r="C92" i="7" s="1"/>
  <c r="J120" i="7"/>
  <c r="B200" i="5"/>
  <c r="J47" i="7" s="1"/>
  <c r="B577" i="5"/>
  <c r="B105" i="7" s="1"/>
  <c r="D838" i="5"/>
  <c r="D140" i="7" s="1"/>
  <c r="B1110" i="5"/>
  <c r="B198" i="7" s="1"/>
  <c r="C1053" i="5"/>
  <c r="C193" i="7" s="1"/>
  <c r="K126" i="7"/>
  <c r="J122" i="7"/>
  <c r="F1194" i="5"/>
  <c r="E213" i="7" s="1"/>
  <c r="H1194" i="5"/>
  <c r="F213" i="7" s="1"/>
  <c r="J108" i="7"/>
  <c r="B899" i="5"/>
  <c r="B147" i="7" s="1"/>
  <c r="B904" i="5"/>
  <c r="B152" i="7" s="1"/>
  <c r="B1252" i="5"/>
  <c r="B225" i="7" s="1"/>
  <c r="B971" i="5"/>
  <c r="B165" i="7" s="1"/>
  <c r="B897" i="5"/>
  <c r="B145" i="7" s="1"/>
  <c r="J63" i="7"/>
  <c r="B993" i="5"/>
  <c r="B187" i="7" s="1"/>
  <c r="S8" i="5"/>
  <c r="P1128" i="5"/>
  <c r="J131" i="7"/>
  <c r="B900" i="5"/>
  <c r="B148" i="7" s="1"/>
  <c r="B1248" i="5"/>
  <c r="B221" i="7" s="1"/>
  <c r="B972" i="5"/>
  <c r="B166" i="7" s="1"/>
  <c r="E8" i="5"/>
  <c r="B965" i="5"/>
  <c r="B159" i="7" s="1"/>
  <c r="C1052" i="5"/>
  <c r="C192" i="7" s="1"/>
  <c r="C430" i="5"/>
  <c r="C76" i="7" s="1"/>
  <c r="D1248" i="5"/>
  <c r="D221" i="7" s="1"/>
  <c r="Q4" i="5"/>
  <c r="I3" i="7" s="1"/>
  <c r="B1197" i="5"/>
  <c r="B216" i="7" s="1"/>
  <c r="M8" i="5"/>
  <c r="P836" i="5"/>
  <c r="C1110" i="5"/>
  <c r="C198" i="7" s="1"/>
  <c r="E1" i="5"/>
  <c r="B201" i="5"/>
  <c r="J48" i="7" s="1"/>
  <c r="Q5" i="5"/>
  <c r="I4" i="7" s="1"/>
  <c r="D7" i="5"/>
  <c r="J121" i="7"/>
  <c r="C839" i="5"/>
  <c r="C141" i="7" s="1"/>
  <c r="D1194" i="5"/>
  <c r="D213" i="7" s="1"/>
  <c r="B197" i="5"/>
  <c r="J44" i="7" s="1"/>
  <c r="B503" i="5"/>
  <c r="B90" i="7" s="1"/>
  <c r="D1110" i="5"/>
  <c r="D198" i="7" s="1"/>
  <c r="J106" i="7"/>
  <c r="L7" i="5"/>
  <c r="J92" i="7"/>
  <c r="J76" i="7"/>
  <c r="J123" i="7"/>
  <c r="D117" i="7"/>
  <c r="D11" i="5"/>
  <c r="D8" i="7" s="1"/>
  <c r="F12" i="5"/>
  <c r="E9" i="7" s="1"/>
  <c r="B17" i="5"/>
  <c r="B23" i="5"/>
  <c r="C11" i="5"/>
  <c r="C8" i="7" s="1"/>
  <c r="D12" i="5"/>
  <c r="D9" i="7" s="1"/>
  <c r="F13" i="5"/>
  <c r="E10" i="7" s="1"/>
  <c r="B20" i="5"/>
  <c r="J9" i="7" s="1"/>
  <c r="B24" i="5"/>
  <c r="E25" i="5"/>
  <c r="K14" i="7" s="1"/>
  <c r="B11" i="5"/>
  <c r="B8" i="7" s="1"/>
  <c r="C12" i="5"/>
  <c r="C9" i="7" s="1"/>
  <c r="D13" i="5"/>
  <c r="D10" i="7" s="1"/>
  <c r="B21" i="5"/>
  <c r="J10" i="7" s="1"/>
  <c r="F11" i="5"/>
  <c r="E8" i="7" s="1"/>
  <c r="C13" i="5"/>
  <c r="C10" i="7" s="1"/>
  <c r="B19" i="5"/>
  <c r="J8" i="7" s="1"/>
  <c r="D92" i="7"/>
  <c r="E106" i="7"/>
  <c r="D91" i="7" l="1"/>
  <c r="D122" i="7"/>
  <c r="P203" i="5"/>
  <c r="J111" i="7"/>
  <c r="J125" i="7"/>
  <c r="J110" i="7"/>
  <c r="D121" i="7"/>
  <c r="D107" i="7"/>
  <c r="P427" i="5"/>
  <c r="B21" i="7"/>
  <c r="J13" i="7"/>
  <c r="J12" i="7"/>
  <c r="B20" i="7"/>
  <c r="D6" i="7"/>
</calcChain>
</file>

<file path=xl/sharedStrings.xml><?xml version="1.0" encoding="utf-8"?>
<sst xmlns="http://schemas.openxmlformats.org/spreadsheetml/2006/main" count="89" uniqueCount="81">
  <si>
    <t>ENG</t>
  </si>
  <si>
    <t>Tango 1</t>
  </si>
  <si>
    <t>Tango 2</t>
  </si>
  <si>
    <t>Tango 3</t>
  </si>
  <si>
    <t>Tango 4</t>
  </si>
  <si>
    <t>Tango 5</t>
  </si>
  <si>
    <t>Tango 6</t>
  </si>
  <si>
    <t>Tango 7</t>
  </si>
  <si>
    <t>Milano 1</t>
  </si>
  <si>
    <t>Milano 2</t>
  </si>
  <si>
    <t>Milano 3</t>
  </si>
  <si>
    <t>Milano 4</t>
  </si>
  <si>
    <t>Milano 5</t>
  </si>
  <si>
    <t>Milano 6</t>
  </si>
  <si>
    <t>Milano 7</t>
  </si>
  <si>
    <t>Milano 8</t>
  </si>
  <si>
    <t>Milano 9</t>
  </si>
  <si>
    <t>Liano 1</t>
  </si>
  <si>
    <t>Liano 2</t>
  </si>
  <si>
    <t>Liano 3</t>
  </si>
  <si>
    <t>Liano 4</t>
  </si>
  <si>
    <t>Liano 5</t>
  </si>
  <si>
    <t>Liano 6</t>
  </si>
  <si>
    <t>ECO-CELL</t>
  </si>
  <si>
    <t>Bergamo 1</t>
  </si>
  <si>
    <t>Bergamo 2</t>
  </si>
  <si>
    <t>Bergamo 3</t>
  </si>
  <si>
    <t>Bergamo 4</t>
  </si>
  <si>
    <t>Bergamo 5</t>
  </si>
  <si>
    <t>Bergamo 6</t>
  </si>
  <si>
    <t>Grande 1</t>
  </si>
  <si>
    <t>Grande 2</t>
  </si>
  <si>
    <t>Grande 3</t>
  </si>
  <si>
    <t>Grande 4</t>
  </si>
  <si>
    <t>Grande 5</t>
  </si>
  <si>
    <t>Grande 6</t>
  </si>
  <si>
    <t>Piano 1</t>
  </si>
  <si>
    <t>Piano 2</t>
  </si>
  <si>
    <t>Viento 1</t>
  </si>
  <si>
    <t>Viento 2</t>
  </si>
  <si>
    <t>Viento 3</t>
  </si>
  <si>
    <t>Viento 4</t>
  </si>
  <si>
    <t>Viento 5</t>
  </si>
  <si>
    <t>Milano 1А</t>
  </si>
  <si>
    <t>Milano 2А</t>
  </si>
  <si>
    <t>Milano 3А</t>
  </si>
  <si>
    <t>Milano 4А</t>
  </si>
  <si>
    <t>Liano 1А</t>
  </si>
  <si>
    <t>Liano 2А</t>
  </si>
  <si>
    <t>Liano 3А</t>
  </si>
  <si>
    <t>Liano 4А</t>
  </si>
  <si>
    <t>Bergamo 1А</t>
  </si>
  <si>
    <t>Bergamo 2А</t>
  </si>
  <si>
    <t>Bergamo 3А</t>
  </si>
  <si>
    <t>Bergamo 4А</t>
  </si>
  <si>
    <t>Grande 1А</t>
  </si>
  <si>
    <t>Grande 2А</t>
  </si>
  <si>
    <t>Grande 3А</t>
  </si>
  <si>
    <t>Grande 4А</t>
  </si>
  <si>
    <t>Piano 3</t>
  </si>
  <si>
    <t>Viento 1А</t>
  </si>
  <si>
    <t>Viento 2А</t>
  </si>
  <si>
    <t>UA</t>
  </si>
  <si>
    <t>без ПДВ</t>
  </si>
  <si>
    <t>ціна 1</t>
  </si>
  <si>
    <t>ціна 2</t>
  </si>
  <si>
    <t>ціна 3</t>
  </si>
  <si>
    <t>ціна 4</t>
  </si>
  <si>
    <t>ціна 5</t>
  </si>
  <si>
    <t>ціна 6</t>
  </si>
  <si>
    <t>ціна 7</t>
  </si>
  <si>
    <t>ціна 8</t>
  </si>
  <si>
    <t>ECO-RESIST</t>
  </si>
  <si>
    <t>Viva 1</t>
  </si>
  <si>
    <t>Viva 2</t>
  </si>
  <si>
    <t>Elit 1</t>
  </si>
  <si>
    <t>Elit 2</t>
  </si>
  <si>
    <t>Florencia 1</t>
  </si>
  <si>
    <t>Florencia 2</t>
  </si>
  <si>
    <t>Neapol 1</t>
  </si>
  <si>
    <t>Neapol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</si>
</sst>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#,##0.0"/>
    <numFmt numFmtId="167" formatCode="#,##0\ [$грн.-422]"/>
  </numFmts>
  <fonts count="54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8"/>
      <color indexed="9"/>
      <name val="Arial Cyr"/>
      <charset val="204"/>
    </font>
    <font>
      <sz val="10"/>
      <color indexed="9"/>
      <name val="Arial Cyr"/>
      <charset val="204"/>
    </font>
    <font>
      <sz val="8"/>
      <color indexed="22"/>
      <name val="Arial Cyr"/>
      <charset val="204"/>
    </font>
    <font>
      <sz val="8"/>
      <name val="Arial"/>
      <family val="2"/>
      <charset val="204"/>
    </font>
    <font>
      <b/>
      <sz val="10"/>
      <color indexed="17"/>
      <name val="Times New Roman"/>
      <family val="1"/>
      <charset val="204"/>
    </font>
    <font>
      <b/>
      <i/>
      <sz val="10"/>
      <name val="Arial Cyr"/>
      <charset val="204"/>
    </font>
    <font>
      <i/>
      <sz val="8"/>
      <name val="Arial Cyr"/>
      <charset val="204"/>
    </font>
    <font>
      <u/>
      <sz val="8.5"/>
      <color indexed="12"/>
      <name val="Arial Cyr"/>
      <charset val="204"/>
    </font>
    <font>
      <sz val="10"/>
      <name val="Times New Roman"/>
      <family val="1"/>
      <charset val="204"/>
    </font>
    <font>
      <b/>
      <u/>
      <sz val="10"/>
      <color indexed="12"/>
      <name val="Arial Cyr"/>
      <charset val="204"/>
    </font>
    <font>
      <b/>
      <i/>
      <sz val="8"/>
      <color indexed="12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b/>
      <sz val="8"/>
      <name val="Arial Cyr"/>
      <charset val="204"/>
    </font>
    <font>
      <b/>
      <sz val="8"/>
      <color indexed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8"/>
      <color indexed="10"/>
      <name val="Arial"/>
      <family val="2"/>
      <charset val="204"/>
    </font>
    <font>
      <b/>
      <sz val="8"/>
      <color indexed="12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23"/>
      <name val="Arial Cyr"/>
      <charset val="204"/>
    </font>
    <font>
      <b/>
      <i/>
      <sz val="8"/>
      <color indexed="23"/>
      <name val="Arial Cyr"/>
      <charset val="204"/>
    </font>
    <font>
      <b/>
      <sz val="10"/>
      <color indexed="10"/>
      <name val="Times New Roman"/>
      <family val="1"/>
      <charset val="204"/>
    </font>
    <font>
      <sz val="8"/>
      <color indexed="2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  <charset val="204"/>
    </font>
    <font>
      <b/>
      <sz val="6"/>
      <name val="Times New Roman"/>
      <family val="1"/>
      <charset val="204"/>
    </font>
    <font>
      <b/>
      <sz val="10"/>
      <color indexed="53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53"/>
      <name val="Arial Cyr"/>
      <charset val="204"/>
    </font>
    <font>
      <b/>
      <sz val="10"/>
      <color indexed="53"/>
      <name val="Times New Roman"/>
      <family val="1"/>
      <charset val="204"/>
    </font>
    <font>
      <b/>
      <sz val="8"/>
      <color indexed="53"/>
      <name val="Arial"/>
      <family val="2"/>
      <charset val="204"/>
    </font>
    <font>
      <sz val="10"/>
      <name val="Arial Cyr"/>
      <charset val="204"/>
    </font>
    <font>
      <sz val="10"/>
      <color indexed="23"/>
      <name val="Arial Cyr"/>
      <charset val="204"/>
    </font>
    <font>
      <b/>
      <sz val="10"/>
      <color indexed="23"/>
      <name val="Arial Cyr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Protection="1">
      <protection hidden="1"/>
    </xf>
    <xf numFmtId="9" fontId="10" fillId="0" borderId="0" xfId="0" applyNumberFormat="1" applyFont="1" applyProtection="1">
      <protection hidden="1"/>
    </xf>
    <xf numFmtId="0" fontId="10" fillId="2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3" borderId="2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2" fillId="0" borderId="3" xfId="0" applyFont="1" applyFill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indent="2"/>
      <protection hidden="1"/>
    </xf>
    <xf numFmtId="0" fontId="4" fillId="0" borderId="5" xfId="0" applyFont="1" applyBorder="1" applyAlignment="1" applyProtection="1">
      <alignment horizontal="right" vertical="center"/>
      <protection hidden="1"/>
    </xf>
    <xf numFmtId="3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left" vertical="center" indent="2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3" fontId="6" fillId="0" borderId="6" xfId="0" applyNumberFormat="1" applyFont="1" applyBorder="1" applyAlignment="1" applyProtection="1">
      <alignment horizontal="center" vertical="center" wrapText="1"/>
      <protection hidden="1"/>
    </xf>
    <xf numFmtId="2" fontId="11" fillId="0" borderId="0" xfId="0" applyNumberFormat="1" applyFont="1" applyAlignment="1" applyProtection="1">
      <alignment horizontal="center" vertical="center"/>
      <protection hidden="1"/>
    </xf>
    <xf numFmtId="4" fontId="0" fillId="0" borderId="0" xfId="0" applyNumberFormat="1" applyProtection="1">
      <protection hidden="1"/>
    </xf>
    <xf numFmtId="0" fontId="6" fillId="0" borderId="8" xfId="0" applyFont="1" applyBorder="1" applyAlignment="1" applyProtection="1">
      <alignment horizontal="left" vertical="center" indent="2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3" fontId="6" fillId="0" borderId="8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3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7" fillId="0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3" fontId="8" fillId="0" borderId="0" xfId="0" applyNumberFormat="1" applyFont="1" applyProtection="1"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center" indent="2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3" fontId="8" fillId="0" borderId="0" xfId="0" applyNumberFormat="1" applyFont="1" applyFill="1" applyBorder="1" applyProtection="1"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Fill="1" applyBorder="1" applyProtection="1"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4" fontId="5" fillId="0" borderId="0" xfId="0" applyNumberFormat="1" applyFont="1" applyAlignment="1" applyProtection="1">
      <alignment horizont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left" vertical="center" wrapText="1" indent="2"/>
      <protection hidden="1"/>
    </xf>
    <xf numFmtId="0" fontId="6" fillId="0" borderId="11" xfId="0" applyFont="1" applyFill="1" applyBorder="1" applyAlignment="1" applyProtection="1">
      <alignment vertical="center" wrapText="1"/>
      <protection hidden="1"/>
    </xf>
    <xf numFmtId="0" fontId="4" fillId="0" borderId="12" xfId="0" applyFont="1" applyBorder="1" applyAlignment="1" applyProtection="1">
      <alignment horizontal="left" vertical="center" wrapText="1" indent="1"/>
      <protection hidden="1"/>
    </xf>
    <xf numFmtId="4" fontId="2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left" vertical="center" wrapText="1" indent="1"/>
      <protection hidden="1"/>
    </xf>
    <xf numFmtId="166" fontId="6" fillId="0" borderId="8" xfId="0" applyNumberFormat="1" applyFont="1" applyBorder="1" applyAlignment="1" applyProtection="1">
      <alignment horizontal="center" vertical="center" wrapText="1"/>
      <protection hidden="1"/>
    </xf>
    <xf numFmtId="4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 indent="2"/>
      <protection hidden="1"/>
    </xf>
    <xf numFmtId="0" fontId="12" fillId="0" borderId="0" xfId="0" applyFont="1" applyAlignment="1" applyProtection="1">
      <alignment horizontal="left" indent="1"/>
      <protection hidden="1"/>
    </xf>
    <xf numFmtId="2" fontId="20" fillId="0" borderId="0" xfId="0" applyNumberFormat="1" applyFont="1" applyProtection="1">
      <protection hidden="1"/>
    </xf>
    <xf numFmtId="4" fontId="0" fillId="0" borderId="0" xfId="0" applyNumberFormat="1" applyFill="1" applyProtection="1">
      <protection hidden="1"/>
    </xf>
    <xf numFmtId="4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center" wrapText="1"/>
      <protection hidden="1"/>
    </xf>
    <xf numFmtId="0" fontId="16" fillId="0" borderId="15" xfId="1" applyFont="1" applyBorder="1" applyAlignment="1" applyProtection="1">
      <alignment horizontal="left" indent="1"/>
      <protection hidden="1"/>
    </xf>
    <xf numFmtId="0" fontId="5" fillId="0" borderId="0" xfId="0" applyFont="1" applyProtection="1">
      <protection hidden="1"/>
    </xf>
    <xf numFmtId="14" fontId="22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protection hidden="1"/>
    </xf>
    <xf numFmtId="0" fontId="15" fillId="0" borderId="16" xfId="0" applyFont="1" applyBorder="1" applyAlignment="1" applyProtection="1">
      <alignment horizontal="right" indent="2"/>
      <protection hidden="1"/>
    </xf>
    <xf numFmtId="4" fontId="2" fillId="3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6" xfId="0" applyFont="1" applyBorder="1" applyAlignment="1" applyProtection="1">
      <alignment horizontal="right"/>
      <protection hidden="1"/>
    </xf>
    <xf numFmtId="3" fontId="6" fillId="0" borderId="0" xfId="0" applyNumberFormat="1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left" vertical="center" wrapText="1" indent="1"/>
      <protection hidden="1"/>
    </xf>
    <xf numFmtId="3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indent="2"/>
      <protection hidden="1"/>
    </xf>
    <xf numFmtId="166" fontId="6" fillId="0" borderId="6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right"/>
      <protection hidden="1"/>
    </xf>
    <xf numFmtId="0" fontId="26" fillId="0" borderId="0" xfId="0" applyFont="1" applyBorder="1" applyAlignment="1" applyProtection="1">
      <alignment vertical="top" wrapText="1"/>
      <protection hidden="1"/>
    </xf>
    <xf numFmtId="0" fontId="6" fillId="0" borderId="17" xfId="0" applyFont="1" applyBorder="1" applyAlignment="1" applyProtection="1">
      <alignment horizontal="left" vertical="center" indent="2"/>
      <protection hidden="1"/>
    </xf>
    <xf numFmtId="0" fontId="19" fillId="0" borderId="0" xfId="1" applyFont="1" applyAlignment="1" applyProtection="1">
      <alignment horizontal="right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13" fillId="0" borderId="3" xfId="0" applyFont="1" applyFill="1" applyBorder="1" applyAlignment="1" applyProtection="1">
      <alignment horizontal="left" wrapText="1"/>
      <protection hidden="1"/>
    </xf>
    <xf numFmtId="9" fontId="13" fillId="0" borderId="3" xfId="0" applyNumberFormat="1" applyFont="1" applyFill="1" applyBorder="1" applyAlignment="1" applyProtection="1">
      <alignment horizontal="left" wrapText="1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0" fillId="5" borderId="3" xfId="0" applyFill="1" applyBorder="1" applyProtection="1">
      <protection hidden="1"/>
    </xf>
    <xf numFmtId="0" fontId="6" fillId="4" borderId="5" xfId="0" applyFont="1" applyFill="1" applyBorder="1" applyAlignment="1" applyProtection="1">
      <alignment horizontal="right" vertical="center" wrapText="1"/>
      <protection hidden="1"/>
    </xf>
    <xf numFmtId="0" fontId="6" fillId="4" borderId="7" xfId="0" applyFont="1" applyFill="1" applyBorder="1" applyAlignment="1" applyProtection="1">
      <alignment horizontal="right" vertical="center" wrapText="1"/>
      <protection hidden="1"/>
    </xf>
    <xf numFmtId="0" fontId="6" fillId="4" borderId="9" xfId="0" applyFont="1" applyFill="1" applyBorder="1" applyAlignment="1" applyProtection="1">
      <alignment horizontal="right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center" vertical="center" wrapText="1"/>
      <protection hidden="1"/>
    </xf>
    <xf numFmtId="3" fontId="6" fillId="0" borderId="9" xfId="0" applyNumberFormat="1" applyFont="1" applyBorder="1" applyAlignment="1" applyProtection="1">
      <alignment horizontal="center" vertical="center" wrapText="1"/>
      <protection hidden="1"/>
    </xf>
    <xf numFmtId="166" fontId="6" fillId="0" borderId="7" xfId="0" applyNumberFormat="1" applyFont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9" fontId="13" fillId="0" borderId="0" xfId="0" applyNumberFormat="1" applyFont="1" applyFill="1" applyBorder="1" applyAlignment="1" applyProtection="1">
      <alignment horizontal="left" wrapText="1"/>
      <protection hidden="1"/>
    </xf>
    <xf numFmtId="0" fontId="6" fillId="0" borderId="10" xfId="0" applyFont="1" applyBorder="1" applyAlignment="1" applyProtection="1">
      <alignment horizontal="left" vertical="center" indent="2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right"/>
      <protection hidden="1"/>
    </xf>
    <xf numFmtId="3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2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3" fontId="2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6" fillId="4" borderId="13" xfId="0" applyFont="1" applyFill="1" applyBorder="1" applyAlignment="1" applyProtection="1">
      <alignment horizontal="right" vertical="center" wrapText="1"/>
      <protection hidden="1"/>
    </xf>
    <xf numFmtId="0" fontId="6" fillId="4" borderId="12" xfId="0" applyFont="1" applyFill="1" applyBorder="1" applyAlignment="1" applyProtection="1">
      <alignment horizontal="right" vertical="center" wrapText="1"/>
      <protection hidden="1"/>
    </xf>
    <xf numFmtId="0" fontId="6" fillId="4" borderId="14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21" fillId="5" borderId="21" xfId="1" applyFont="1" applyFill="1" applyBorder="1" applyAlignment="1" applyProtection="1">
      <protection hidden="1"/>
    </xf>
    <xf numFmtId="0" fontId="21" fillId="5" borderId="2" xfId="1" applyFont="1" applyFill="1" applyBorder="1" applyAlignment="1" applyProtection="1">
      <protection hidden="1"/>
    </xf>
    <xf numFmtId="0" fontId="6" fillId="4" borderId="22" xfId="0" applyFont="1" applyFill="1" applyBorder="1" applyAlignment="1" applyProtection="1">
      <alignment horizontal="right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17" fillId="5" borderId="21" xfId="0" applyFont="1" applyFill="1" applyBorder="1" applyProtection="1"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right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4" fontId="2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3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9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4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3" fontId="2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right"/>
      <protection hidden="1"/>
    </xf>
    <xf numFmtId="0" fontId="31" fillId="0" borderId="0" xfId="0" applyFont="1" applyProtection="1">
      <protection hidden="1"/>
    </xf>
    <xf numFmtId="9" fontId="12" fillId="0" borderId="0" xfId="0" applyNumberFormat="1" applyFont="1" applyProtection="1">
      <protection hidden="1"/>
    </xf>
    <xf numFmtId="0" fontId="32" fillId="6" borderId="3" xfId="0" applyFont="1" applyFill="1" applyBorder="1" applyAlignment="1" applyProtection="1">
      <alignment horizontal="center"/>
      <protection locked="0" hidden="1"/>
    </xf>
    <xf numFmtId="2" fontId="34" fillId="0" borderId="0" xfId="0" applyNumberFormat="1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4" fillId="7" borderId="0" xfId="0" applyFont="1" applyFill="1" applyBorder="1" applyProtection="1">
      <protection hidden="1"/>
    </xf>
    <xf numFmtId="0" fontId="8" fillId="7" borderId="0" xfId="0" applyFont="1" applyFill="1" applyBorder="1" applyAlignment="1" applyProtection="1">
      <alignment horizontal="center"/>
      <protection hidden="1"/>
    </xf>
    <xf numFmtId="4" fontId="8" fillId="7" borderId="0" xfId="0" applyNumberFormat="1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right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protection hidden="1"/>
    </xf>
    <xf numFmtId="0" fontId="6" fillId="0" borderId="13" xfId="0" applyFont="1" applyBorder="1" applyAlignment="1" applyProtection="1">
      <alignment horizontal="right"/>
      <protection hidden="1"/>
    </xf>
    <xf numFmtId="0" fontId="6" fillId="0" borderId="24" xfId="0" applyFont="1" applyBorder="1" applyAlignment="1" applyProtection="1"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24" xfId="0" applyFont="1" applyBorder="1" applyAlignment="1" applyProtection="1">
      <alignment horizontal="right"/>
      <protection hidden="1"/>
    </xf>
    <xf numFmtId="2" fontId="17" fillId="0" borderId="0" xfId="0" applyNumberFormat="1" applyFont="1" applyProtection="1">
      <protection hidden="1"/>
    </xf>
    <xf numFmtId="2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37" fillId="0" borderId="0" xfId="0" applyFont="1" applyProtection="1">
      <protection hidden="1"/>
    </xf>
    <xf numFmtId="0" fontId="6" fillId="0" borderId="15" xfId="0" applyFont="1" applyBorder="1" applyAlignment="1" applyProtection="1">
      <protection hidden="1"/>
    </xf>
    <xf numFmtId="0" fontId="6" fillId="0" borderId="22" xfId="0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6" fillId="0" borderId="15" xfId="0" applyFont="1" applyBorder="1" applyAlignment="1" applyProtection="1">
      <alignment horizontal="right"/>
      <protection hidden="1"/>
    </xf>
    <xf numFmtId="2" fontId="17" fillId="0" borderId="0" xfId="0" applyNumberFormat="1" applyFont="1" applyAlignment="1" applyProtection="1">
      <protection hidden="1"/>
    </xf>
    <xf numFmtId="4" fontId="17" fillId="0" borderId="0" xfId="0" applyNumberFormat="1" applyFont="1" applyAlignment="1" applyProtection="1"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 indent="2"/>
      <protection hidden="1"/>
    </xf>
    <xf numFmtId="0" fontId="8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4" fontId="28" fillId="3" borderId="14" xfId="1" applyNumberFormat="1" applyFont="1" applyFill="1" applyBorder="1" applyAlignment="1" applyProtection="1">
      <alignment horizontal="left" vertical="center" wrapText="1"/>
      <protection hidden="1"/>
    </xf>
    <xf numFmtId="4" fontId="8" fillId="0" borderId="0" xfId="0" applyNumberFormat="1" applyFont="1" applyAlignment="1" applyProtection="1">
      <alignment horizontal="right"/>
      <protection hidden="1"/>
    </xf>
    <xf numFmtId="2" fontId="8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2" fontId="5" fillId="0" borderId="0" xfId="0" applyNumberFormat="1" applyFont="1" applyAlignment="1" applyProtection="1">
      <alignment horizontal="right"/>
      <protection hidden="1"/>
    </xf>
    <xf numFmtId="4" fontId="0" fillId="0" borderId="0" xfId="0" applyNumberFormat="1" applyAlignment="1" applyProtection="1">
      <alignment horizontal="right"/>
      <protection hidden="1"/>
    </xf>
    <xf numFmtId="2" fontId="5" fillId="0" borderId="0" xfId="0" applyNumberFormat="1" applyFont="1" applyAlignment="1" applyProtection="1"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4" fontId="2" fillId="0" borderId="26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7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8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9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25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0" xfId="0" applyNumberFormat="1" applyFont="1" applyFill="1" applyBorder="1" applyAlignment="1" applyProtection="1">
      <alignment horizontal="right" vertical="center" wrapText="1" inden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4" fontId="2" fillId="3" borderId="31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3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33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23" xfId="0" applyNumberFormat="1" applyFont="1" applyBorder="1" applyAlignment="1" applyProtection="1">
      <alignment horizontal="center" vertical="center" wrapText="1"/>
      <protection hidden="1"/>
    </xf>
    <xf numFmtId="3" fontId="6" fillId="0" borderId="24" xfId="0" applyNumberFormat="1" applyFont="1" applyBorder="1" applyAlignment="1" applyProtection="1">
      <alignment horizontal="center" vertical="center" wrapText="1"/>
      <protection hidden="1"/>
    </xf>
    <xf numFmtId="3" fontId="6" fillId="0" borderId="34" xfId="0" applyNumberFormat="1" applyFont="1" applyBorder="1" applyAlignment="1" applyProtection="1">
      <alignment horizontal="center" vertical="center" wrapText="1"/>
      <protection hidden="1"/>
    </xf>
    <xf numFmtId="0" fontId="15" fillId="0" borderId="22" xfId="0" applyFont="1" applyFill="1" applyBorder="1" applyAlignment="1" applyProtection="1">
      <alignment horizontal="right" indent="2"/>
      <protection hidden="1"/>
    </xf>
    <xf numFmtId="0" fontId="15" fillId="0" borderId="12" xfId="0" applyFont="1" applyFill="1" applyBorder="1" applyAlignment="1" applyProtection="1">
      <alignment horizontal="right" indent="2"/>
      <protection hidden="1"/>
    </xf>
    <xf numFmtId="0" fontId="15" fillId="0" borderId="24" xfId="0" applyFont="1" applyFill="1" applyBorder="1" applyAlignment="1" applyProtection="1">
      <alignment horizontal="right"/>
      <protection hidden="1"/>
    </xf>
    <xf numFmtId="0" fontId="15" fillId="0" borderId="15" xfId="0" applyFont="1" applyFill="1" applyBorder="1" applyAlignment="1" applyProtection="1">
      <alignment horizontal="right"/>
      <protection hidden="1"/>
    </xf>
    <xf numFmtId="0" fontId="1" fillId="0" borderId="0" xfId="0" applyFont="1" applyAlignment="1" applyProtection="1">
      <protection hidden="1"/>
    </xf>
    <xf numFmtId="0" fontId="6" fillId="0" borderId="35" xfId="0" applyFont="1" applyBorder="1" applyAlignment="1" applyProtection="1">
      <alignment horizontal="left" vertical="center" indent="2"/>
      <protection hidden="1"/>
    </xf>
    <xf numFmtId="0" fontId="4" fillId="0" borderId="36" xfId="0" applyFont="1" applyBorder="1" applyAlignment="1" applyProtection="1">
      <alignment horizontal="right" vertical="center"/>
      <protection hidden="1"/>
    </xf>
    <xf numFmtId="4" fontId="2" fillId="0" borderId="36" xfId="0" applyNumberFormat="1" applyFont="1" applyFill="1" applyBorder="1" applyAlignment="1" applyProtection="1">
      <alignment horizontal="right" vertical="center" wrapText="1" indent="1"/>
      <protection hidden="1"/>
    </xf>
    <xf numFmtId="9" fontId="8" fillId="0" borderId="0" xfId="2" applyFont="1" applyAlignment="1" applyProtection="1">
      <alignment horizontal="right"/>
      <protection hidden="1"/>
    </xf>
    <xf numFmtId="4" fontId="41" fillId="0" borderId="9" xfId="0" applyNumberFormat="1" applyFont="1" applyFill="1" applyBorder="1" applyAlignment="1" applyProtection="1">
      <alignment horizontal="right" vertical="center" wrapText="1" indent="1"/>
      <protection hidden="1"/>
    </xf>
    <xf numFmtId="9" fontId="42" fillId="0" borderId="0" xfId="2" applyFont="1" applyProtection="1">
      <protection hidden="1"/>
    </xf>
    <xf numFmtId="0" fontId="43" fillId="0" borderId="0" xfId="0" applyFont="1" applyAlignment="1" applyProtection="1">
      <alignment horizontal="left" indent="2"/>
      <protection hidden="1"/>
    </xf>
    <xf numFmtId="0" fontId="44" fillId="0" borderId="24" xfId="0" applyFont="1" applyBorder="1" applyAlignment="1" applyProtection="1">
      <alignment horizontal="left"/>
      <protection hidden="1"/>
    </xf>
    <xf numFmtId="0" fontId="44" fillId="0" borderId="15" xfId="0" applyFont="1" applyBorder="1" applyAlignment="1" applyProtection="1">
      <alignment horizontal="left"/>
      <protection hidden="1"/>
    </xf>
    <xf numFmtId="4" fontId="2" fillId="3" borderId="37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21" xfId="0" applyNumberFormat="1" applyFont="1" applyBorder="1" applyAlignment="1" applyProtection="1">
      <alignment horizontal="center" vertical="center" wrapText="1"/>
      <protection hidden="1"/>
    </xf>
    <xf numFmtId="3" fontId="6" fillId="0" borderId="0" xfId="0" applyNumberFormat="1" applyFont="1" applyFill="1" applyBorder="1" applyAlignment="1" applyProtection="1">
      <alignment vertical="center" wrapText="1"/>
      <protection hidden="1"/>
    </xf>
    <xf numFmtId="4" fontId="2" fillId="0" borderId="0" xfId="0" applyNumberFormat="1" applyFont="1" applyFill="1" applyBorder="1" applyAlignment="1" applyProtection="1">
      <alignment vertical="center" wrapText="1"/>
      <protection hidden="1"/>
    </xf>
    <xf numFmtId="0" fontId="32" fillId="0" borderId="24" xfId="0" applyFont="1" applyBorder="1" applyAlignment="1" applyProtection="1">
      <alignment horizontal="left"/>
      <protection hidden="1"/>
    </xf>
    <xf numFmtId="167" fontId="44" fillId="0" borderId="24" xfId="0" applyNumberFormat="1" applyFont="1" applyBorder="1" applyAlignment="1" applyProtection="1">
      <alignment horizontal="left"/>
      <protection hidden="1"/>
    </xf>
    <xf numFmtId="167" fontId="44" fillId="0" borderId="15" xfId="0" applyNumberFormat="1" applyFont="1" applyBorder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32" fillId="0" borderId="0" xfId="0" applyFont="1" applyAlignment="1" applyProtection="1">
      <alignment horizontal="right"/>
      <protection hidden="1"/>
    </xf>
    <xf numFmtId="0" fontId="16" fillId="0" borderId="15" xfId="1" applyFont="1" applyBorder="1" applyAlignment="1" applyProtection="1">
      <alignment horizontal="left" indent="1"/>
    </xf>
    <xf numFmtId="4" fontId="2" fillId="0" borderId="38" xfId="0" applyNumberFormat="1" applyFont="1" applyFill="1" applyBorder="1" applyAlignment="1" applyProtection="1">
      <alignment horizontal="right" vertical="center" wrapText="1" indent="1"/>
      <protection hidden="1"/>
    </xf>
    <xf numFmtId="4" fontId="2" fillId="0" borderId="39" xfId="0" applyNumberFormat="1" applyFont="1" applyFill="1" applyBorder="1" applyAlignment="1" applyProtection="1">
      <alignment horizontal="right" vertical="center" wrapText="1" indent="1"/>
      <protection hidden="1"/>
    </xf>
    <xf numFmtId="0" fontId="20" fillId="0" borderId="0" xfId="0" applyFont="1" applyProtection="1">
      <protection hidden="1"/>
    </xf>
    <xf numFmtId="0" fontId="46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center"/>
      <protection hidden="1"/>
    </xf>
    <xf numFmtId="3" fontId="6" fillId="0" borderId="35" xfId="0" applyNumberFormat="1" applyFont="1" applyBorder="1" applyAlignment="1" applyProtection="1">
      <alignment horizontal="center" vertical="center" wrapText="1"/>
      <protection hidden="1"/>
    </xf>
    <xf numFmtId="4" fontId="2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Protection="1">
      <protection hidden="1"/>
    </xf>
    <xf numFmtId="0" fontId="6" fillId="0" borderId="16" xfId="0" applyFont="1" applyBorder="1" applyAlignment="1" applyProtection="1">
      <alignment horizontal="right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hidden="1"/>
    </xf>
    <xf numFmtId="0" fontId="48" fillId="0" borderId="0" xfId="0" applyFont="1" applyAlignment="1" applyProtection="1">
      <alignment horizontal="right"/>
      <protection hidden="1"/>
    </xf>
    <xf numFmtId="9" fontId="8" fillId="3" borderId="10" xfId="0" applyNumberFormat="1" applyFont="1" applyFill="1" applyBorder="1" applyAlignment="1" applyProtection="1">
      <alignment horizontal="center"/>
      <protection locked="0" hidden="1"/>
    </xf>
    <xf numFmtId="165" fontId="48" fillId="0" borderId="15" xfId="0" applyNumberFormat="1" applyFont="1" applyFill="1" applyBorder="1" applyAlignment="1" applyProtection="1">
      <alignment horizontal="center"/>
      <protection locked="0" hidden="1"/>
    </xf>
    <xf numFmtId="0" fontId="49" fillId="0" borderId="0" xfId="0" applyFont="1" applyAlignment="1" applyProtection="1">
      <alignment horizontal="right"/>
      <protection hidden="1"/>
    </xf>
    <xf numFmtId="0" fontId="49" fillId="0" borderId="0" xfId="0" applyFont="1" applyProtection="1">
      <protection hidden="1"/>
    </xf>
    <xf numFmtId="9" fontId="50" fillId="0" borderId="16" xfId="0" applyNumberFormat="1" applyFont="1" applyFill="1" applyBorder="1" applyAlignment="1" applyProtection="1">
      <alignment horizontal="center"/>
      <protection locked="0" hidden="1"/>
    </xf>
    <xf numFmtId="0" fontId="3" fillId="0" borderId="15" xfId="0" applyFont="1" applyBorder="1" applyAlignment="1" applyProtection="1">
      <protection hidden="1"/>
    </xf>
    <xf numFmtId="0" fontId="6" fillId="0" borderId="15" xfId="0" applyFont="1" applyBorder="1" applyAlignment="1" applyProtection="1">
      <alignment horizontal="right" indent="1"/>
      <protection hidden="1"/>
    </xf>
    <xf numFmtId="9" fontId="6" fillId="0" borderId="15" xfId="0" applyNumberFormat="1" applyFont="1" applyBorder="1" applyAlignment="1" applyProtection="1">
      <alignment horizontal="left"/>
      <protection hidden="1"/>
    </xf>
    <xf numFmtId="0" fontId="17" fillId="0" borderId="15" xfId="0" applyFont="1" applyBorder="1" applyProtection="1">
      <protection hidden="1"/>
    </xf>
    <xf numFmtId="0" fontId="17" fillId="0" borderId="24" xfId="0" applyFont="1" applyBorder="1" applyProtection="1">
      <protection hidden="1"/>
    </xf>
    <xf numFmtId="0" fontId="6" fillId="0" borderId="24" xfId="0" applyFont="1" applyBorder="1" applyAlignment="1" applyProtection="1">
      <alignment horizontal="right" indent="1"/>
      <protection hidden="1"/>
    </xf>
    <xf numFmtId="165" fontId="6" fillId="0" borderId="24" xfId="0" applyNumberFormat="1" applyFont="1" applyBorder="1" applyAlignment="1" applyProtection="1">
      <alignment horizontal="left"/>
      <protection hidden="1"/>
    </xf>
    <xf numFmtId="0" fontId="17" fillId="0" borderId="24" xfId="0" applyFont="1" applyBorder="1" applyAlignment="1" applyProtection="1">
      <alignment horizontal="right" indent="1"/>
      <protection hidden="1"/>
    </xf>
    <xf numFmtId="9" fontId="6" fillId="0" borderId="24" xfId="0" applyNumberFormat="1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 vertical="center" indent="2"/>
      <protection hidden="1"/>
    </xf>
    <xf numFmtId="0" fontId="16" fillId="0" borderId="24" xfId="1" applyBorder="1" applyAlignment="1" applyProtection="1">
      <alignment horizontal="left" indent="1"/>
      <protection hidden="1"/>
    </xf>
    <xf numFmtId="0" fontId="16" fillId="0" borderId="15" xfId="1" applyBorder="1" applyAlignment="1" applyProtection="1">
      <alignment horizontal="left" indent="1"/>
      <protection hidden="1"/>
    </xf>
    <xf numFmtId="0" fontId="6" fillId="0" borderId="26" xfId="0" applyFont="1" applyBorder="1" applyAlignment="1" applyProtection="1">
      <alignment horizontal="left" vertical="center" indent="2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3" fontId="6" fillId="0" borderId="40" xfId="0" applyNumberFormat="1" applyFont="1" applyBorder="1" applyAlignment="1" applyProtection="1">
      <alignment horizontal="center" vertical="center" wrapText="1"/>
      <protection hidden="1"/>
    </xf>
    <xf numFmtId="4" fontId="2" fillId="3" borderId="40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left" vertical="center" indent="2"/>
      <protection hidden="1"/>
    </xf>
    <xf numFmtId="0" fontId="4" fillId="0" borderId="41" xfId="0" applyFont="1" applyBorder="1" applyAlignment="1" applyProtection="1">
      <alignment horizontal="center" vertical="center" wrapText="1"/>
      <protection hidden="1"/>
    </xf>
    <xf numFmtId="3" fontId="6" fillId="0" borderId="41" xfId="0" applyNumberFormat="1" applyFont="1" applyBorder="1" applyAlignment="1" applyProtection="1">
      <alignment horizontal="center" vertical="center" wrapText="1"/>
      <protection hidden="1"/>
    </xf>
    <xf numFmtId="4" fontId="2" fillId="3" borderId="41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2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left" vertical="center" indent="2"/>
      <protection hidden="1"/>
    </xf>
    <xf numFmtId="0" fontId="4" fillId="0" borderId="42" xfId="0" applyFont="1" applyBorder="1" applyAlignment="1" applyProtection="1">
      <alignment horizontal="center" vertical="center" wrapText="1"/>
      <protection hidden="1"/>
    </xf>
    <xf numFmtId="3" fontId="6" fillId="0" borderId="42" xfId="0" applyNumberFormat="1" applyFont="1" applyBorder="1" applyAlignment="1" applyProtection="1">
      <alignment horizontal="center" vertical="center" wrapText="1"/>
      <protection hidden="1"/>
    </xf>
    <xf numFmtId="4" fontId="2" fillId="3" borderId="42" xfId="0" applyNumberFormat="1" applyFont="1" applyFill="1" applyBorder="1" applyAlignment="1" applyProtection="1">
      <alignment horizontal="center" vertical="center" wrapText="1"/>
      <protection hidden="1"/>
    </xf>
    <xf numFmtId="4" fontId="2" fillId="3" borderId="30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5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indent="2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vertical="center" indent="2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51" fillId="0" borderId="24" xfId="0" applyFont="1" applyBorder="1" applyAlignment="1" applyProtection="1">
      <alignment horizontal="left"/>
      <protection hidden="1"/>
    </xf>
    <xf numFmtId="0" fontId="52" fillId="5" borderId="3" xfId="0" applyFont="1" applyFill="1" applyBorder="1" applyAlignment="1" applyProtection="1">
      <alignment horizontal="center" wrapText="1"/>
      <protection hidden="1"/>
    </xf>
    <xf numFmtId="0" fontId="53" fillId="5" borderId="21" xfId="0" applyFont="1" applyFill="1" applyBorder="1" applyProtection="1"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0" fontId="6" fillId="0" borderId="11" xfId="0" applyFont="1" applyBorder="1" applyAlignment="1" applyProtection="1">
      <alignment horizontal="left" vertical="center" indent="2"/>
      <protection hidden="1"/>
    </xf>
    <xf numFmtId="0" fontId="4" fillId="0" borderId="19" xfId="0" applyFont="1" applyBorder="1" applyAlignment="1" applyProtection="1">
      <alignment horizontal="right" vertical="center"/>
      <protection hidden="1"/>
    </xf>
    <xf numFmtId="0" fontId="0" fillId="0" borderId="0" xfId="0" applyBorder="1" applyProtection="1">
      <protection hidden="1"/>
    </xf>
    <xf numFmtId="0" fontId="39" fillId="0" borderId="0" xfId="0" applyFont="1" applyFill="1" applyProtection="1">
      <protection hidden="1"/>
    </xf>
    <xf numFmtId="9" fontId="39" fillId="0" borderId="0" xfId="0" applyNumberFormat="1" applyFont="1" applyFill="1" applyProtection="1">
      <protection hidden="1"/>
    </xf>
    <xf numFmtId="9" fontId="40" fillId="0" borderId="0" xfId="0" applyNumberFormat="1" applyFont="1" applyFill="1" applyProtection="1">
      <protection hidden="1"/>
    </xf>
    <xf numFmtId="0" fontId="0" fillId="0" borderId="10" xfId="0" applyFill="1" applyBorder="1" applyProtection="1">
      <protection hidden="1"/>
    </xf>
    <xf numFmtId="0" fontId="8" fillId="0" borderId="0" xfId="0" applyFont="1" applyFill="1" applyProtection="1">
      <protection hidden="1"/>
    </xf>
    <xf numFmtId="3" fontId="0" fillId="0" borderId="0" xfId="0" applyNumberFormat="1" applyProtection="1"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4" fontId="2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protection hidden="1"/>
    </xf>
    <xf numFmtId="0" fontId="2" fillId="0" borderId="23" xfId="0" applyFont="1" applyBorder="1" applyAlignment="1" applyProtection="1">
      <protection hidden="1"/>
    </xf>
    <xf numFmtId="0" fontId="2" fillId="0" borderId="13" xfId="0" applyFont="1" applyBorder="1" applyAlignment="1" applyProtection="1">
      <protection hidden="1"/>
    </xf>
    <xf numFmtId="0" fontId="17" fillId="0" borderId="0" xfId="0" applyFont="1" applyBorder="1" applyProtection="1">
      <protection hidden="1"/>
    </xf>
    <xf numFmtId="0" fontId="6" fillId="4" borderId="46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right" vertical="center" wrapText="1"/>
      <protection hidden="1"/>
    </xf>
    <xf numFmtId="0" fontId="6" fillId="4" borderId="48" xfId="0" applyFont="1" applyFill="1" applyBorder="1" applyAlignment="1" applyProtection="1">
      <alignment horizontal="right" vertical="center" wrapText="1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7" fillId="5" borderId="48" xfId="0" applyFont="1" applyFill="1" applyBorder="1" applyProtection="1">
      <protection hidden="1"/>
    </xf>
    <xf numFmtId="0" fontId="21" fillId="5" borderId="48" xfId="1" applyFont="1" applyFill="1" applyBorder="1" applyAlignment="1" applyProtection="1">
      <protection hidden="1"/>
    </xf>
    <xf numFmtId="0" fontId="21" fillId="5" borderId="45" xfId="1" applyFont="1" applyFill="1" applyBorder="1" applyAlignment="1" applyProtection="1">
      <protection hidden="1"/>
    </xf>
    <xf numFmtId="4" fontId="41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0" fillId="9" borderId="38" xfId="0" applyFill="1" applyBorder="1" applyProtection="1">
      <protection hidden="1"/>
    </xf>
    <xf numFmtId="0" fontId="0" fillId="9" borderId="39" xfId="0" applyFill="1" applyBorder="1" applyProtection="1">
      <protection hidden="1"/>
    </xf>
    <xf numFmtId="0" fontId="0" fillId="9" borderId="10" xfId="0" applyFill="1" applyBorder="1" applyProtection="1">
      <protection hidden="1"/>
    </xf>
    <xf numFmtId="1" fontId="0" fillId="10" borderId="0" xfId="0" applyNumberFormat="1" applyFill="1" applyProtection="1">
      <protection hidden="1"/>
    </xf>
    <xf numFmtId="0" fontId="0" fillId="10" borderId="0" xfId="0" applyFill="1" applyProtection="1">
      <protection hidden="1"/>
    </xf>
    <xf numFmtId="0" fontId="0" fillId="10" borderId="0" xfId="0" applyFill="1" applyBorder="1" applyProtection="1"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15" fillId="0" borderId="15" xfId="0" applyFont="1" applyFill="1" applyBorder="1" applyAlignment="1" applyProtection="1">
      <alignment horizontal="right" indent="2"/>
      <protection hidden="1"/>
    </xf>
    <xf numFmtId="0" fontId="15" fillId="0" borderId="22" xfId="0" applyFont="1" applyFill="1" applyBorder="1" applyAlignment="1" applyProtection="1">
      <alignment horizontal="right" indent="2"/>
      <protection hidden="1"/>
    </xf>
    <xf numFmtId="0" fontId="15" fillId="0" borderId="24" xfId="0" applyFont="1" applyFill="1" applyBorder="1" applyAlignment="1" applyProtection="1">
      <alignment horizontal="right" indent="2"/>
      <protection hidden="1"/>
    </xf>
    <xf numFmtId="0" fontId="15" fillId="0" borderId="12" xfId="0" applyFont="1" applyFill="1" applyBorder="1" applyAlignment="1" applyProtection="1">
      <alignment horizontal="right" indent="2"/>
      <protection hidden="1"/>
    </xf>
    <xf numFmtId="0" fontId="13" fillId="5" borderId="3" xfId="0" applyFont="1" applyFill="1" applyBorder="1" applyAlignment="1" applyProtection="1">
      <alignment horizontal="left" wrapText="1"/>
      <protection hidden="1"/>
    </xf>
    <xf numFmtId="0" fontId="24" fillId="5" borderId="3" xfId="0" applyFont="1" applyFill="1" applyBorder="1" applyAlignment="1" applyProtection="1">
      <alignment horizontal="center"/>
      <protection hidden="1"/>
    </xf>
    <xf numFmtId="0" fontId="30" fillId="5" borderId="3" xfId="1" applyFont="1" applyFill="1" applyBorder="1" applyAlignment="1" applyProtection="1">
      <alignment horizontal="right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Fill="1" applyAlignment="1" applyProtection="1">
      <alignment horizontal="right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30" fillId="0" borderId="0" xfId="1" applyFont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2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0" fontId="6" fillId="4" borderId="34" xfId="0" applyFont="1" applyFill="1" applyBorder="1" applyAlignment="1" applyProtection="1">
      <alignment horizontal="center" vertical="center" wrapText="1"/>
      <protection hidden="1"/>
    </xf>
    <xf numFmtId="0" fontId="30" fillId="0" borderId="0" xfId="1" applyFont="1" applyFill="1" applyAlignment="1" applyProtection="1">
      <alignment horizontal="right"/>
      <protection hidden="1"/>
    </xf>
    <xf numFmtId="0" fontId="0" fillId="0" borderId="3" xfId="0" applyBorder="1" applyAlignment="1"/>
    <xf numFmtId="9" fontId="13" fillId="5" borderId="3" xfId="0" applyNumberFormat="1" applyFont="1" applyFill="1" applyBorder="1" applyAlignment="1" applyProtection="1">
      <alignment horizontal="left" wrapText="1"/>
      <protection hidden="1"/>
    </xf>
    <xf numFmtId="0" fontId="15" fillId="0" borderId="0" xfId="0" applyFont="1" applyBorder="1" applyAlignment="1" applyProtection="1">
      <alignment horizontal="right" indent="2"/>
      <protection hidden="1"/>
    </xf>
    <xf numFmtId="0" fontId="6" fillId="4" borderId="18" xfId="0" applyFont="1" applyFill="1" applyBorder="1" applyAlignment="1" applyProtection="1">
      <alignment horizontal="left" vertical="center" wrapText="1" indent="2"/>
      <protection hidden="1"/>
    </xf>
    <xf numFmtId="0" fontId="6" fillId="4" borderId="19" xfId="0" applyFont="1" applyFill="1" applyBorder="1" applyAlignment="1" applyProtection="1">
      <alignment horizontal="left" vertical="center" wrapText="1" indent="2"/>
      <protection hidden="1"/>
    </xf>
    <xf numFmtId="0" fontId="15" fillId="0" borderId="15" xfId="0" applyFont="1" applyBorder="1" applyAlignment="1" applyProtection="1">
      <alignment horizontal="right" indent="2"/>
      <protection hidden="1"/>
    </xf>
    <xf numFmtId="0" fontId="15" fillId="0" borderId="22" xfId="0" applyFont="1" applyBorder="1" applyAlignment="1" applyProtection="1">
      <alignment horizontal="right" indent="2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19" fillId="5" borderId="3" xfId="1" applyFont="1" applyFill="1" applyBorder="1" applyAlignment="1" applyProtection="1">
      <alignment horizontal="right"/>
      <protection hidden="1"/>
    </xf>
    <xf numFmtId="0" fontId="33" fillId="0" borderId="0" xfId="0" applyFont="1" applyAlignment="1" applyProtection="1">
      <alignment horizontal="left" wrapText="1"/>
      <protection hidden="1"/>
    </xf>
    <xf numFmtId="0" fontId="33" fillId="0" borderId="0" xfId="0" applyFont="1" applyAlignment="1" applyProtection="1">
      <alignment horizontal="left"/>
      <protection hidden="1"/>
    </xf>
    <xf numFmtId="0" fontId="6" fillId="0" borderId="35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18" fillId="5" borderId="44" xfId="1" applyFont="1" applyFill="1" applyBorder="1" applyAlignment="1" applyProtection="1">
      <alignment horizontal="center" vertical="center"/>
      <protection hidden="1"/>
    </xf>
    <xf numFmtId="0" fontId="18" fillId="5" borderId="45" xfId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6" fillId="4" borderId="44" xfId="0" applyFont="1" applyFill="1" applyBorder="1" applyAlignment="1" applyProtection="1">
      <alignment horizontal="left" vertical="center" wrapText="1" indent="2"/>
      <protection hidden="1"/>
    </xf>
    <xf numFmtId="0" fontId="6" fillId="4" borderId="11" xfId="0" applyFont="1" applyFill="1" applyBorder="1" applyAlignment="1" applyProtection="1">
      <alignment horizontal="left" vertical="center" wrapText="1" indent="2"/>
      <protection hidden="1"/>
    </xf>
    <xf numFmtId="0" fontId="6" fillId="4" borderId="35" xfId="0" applyFont="1" applyFill="1" applyBorder="1" applyAlignment="1" applyProtection="1">
      <alignment horizontal="left" vertical="center" wrapText="1" indent="2"/>
      <protection hidden="1"/>
    </xf>
    <xf numFmtId="0" fontId="6" fillId="4" borderId="44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9" fontId="3" fillId="5" borderId="1" xfId="0" applyNumberFormat="1" applyFont="1" applyFill="1" applyBorder="1" applyAlignment="1" applyProtection="1">
      <alignment horizontal="left" wrapText="1"/>
      <protection hidden="1"/>
    </xf>
    <xf numFmtId="9" fontId="3" fillId="5" borderId="21" xfId="0" applyNumberFormat="1" applyFont="1" applyFill="1" applyBorder="1" applyAlignment="1" applyProtection="1">
      <alignment horizontal="left" wrapText="1"/>
      <protection hidden="1"/>
    </xf>
    <xf numFmtId="9" fontId="3" fillId="5" borderId="48" xfId="0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left" wrapText="1"/>
      <protection hidden="1"/>
    </xf>
    <xf numFmtId="0" fontId="3" fillId="5" borderId="21" xfId="0" applyFont="1" applyFill="1" applyBorder="1" applyAlignment="1" applyProtection="1">
      <alignment horizontal="left" wrapText="1"/>
      <protection hidden="1"/>
    </xf>
    <xf numFmtId="2" fontId="38" fillId="0" borderId="0" xfId="0" applyNumberFormat="1" applyFont="1" applyAlignment="1" applyProtection="1">
      <alignment horizontal="left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wrapText="1"/>
      <protection hidden="1"/>
    </xf>
    <xf numFmtId="0" fontId="6" fillId="4" borderId="21" xfId="0" applyFont="1" applyFill="1" applyBorder="1" applyAlignment="1" applyProtection="1">
      <alignment horizontal="center" wrapText="1"/>
      <protection hidden="1"/>
    </xf>
    <xf numFmtId="0" fontId="6" fillId="4" borderId="2" xfId="0" applyFont="1" applyFill="1" applyBorder="1" applyAlignment="1" applyProtection="1">
      <alignment horizontal="center" wrapText="1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16" Type="http://schemas.openxmlformats.org/officeDocument/2006/relationships/image" Target="../media/image17.png"/><Relationship Id="rId11" Type="http://schemas.openxmlformats.org/officeDocument/2006/relationships/image" Target="../media/image12.jpeg"/><Relationship Id="rId32" Type="http://schemas.openxmlformats.org/officeDocument/2006/relationships/image" Target="../media/image33.png"/><Relationship Id="rId37" Type="http://schemas.openxmlformats.org/officeDocument/2006/relationships/image" Target="../media/image38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jpeg"/><Relationship Id="rId5" Type="http://schemas.openxmlformats.org/officeDocument/2006/relationships/image" Target="../media/image6.png"/><Relationship Id="rId61" Type="http://schemas.openxmlformats.org/officeDocument/2006/relationships/image" Target="../media/image62.jpeg"/><Relationship Id="rId82" Type="http://schemas.openxmlformats.org/officeDocument/2006/relationships/image" Target="../media/image83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77" Type="http://schemas.openxmlformats.org/officeDocument/2006/relationships/image" Target="../media/image78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80" Type="http://schemas.openxmlformats.org/officeDocument/2006/relationships/image" Target="../media/image81.jpeg"/><Relationship Id="rId3" Type="http://schemas.openxmlformats.org/officeDocument/2006/relationships/image" Target="../media/image4.png"/><Relationship Id="rId12" Type="http://schemas.openxmlformats.org/officeDocument/2006/relationships/image" Target="../media/image13.jpe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83" Type="http://schemas.openxmlformats.org/officeDocument/2006/relationships/image" Target="../media/image84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pn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81" Type="http://schemas.openxmlformats.org/officeDocument/2006/relationships/image" Target="../media/image82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9" Type="http://schemas.openxmlformats.org/officeDocument/2006/relationships/image" Target="../media/image40.jpeg"/><Relationship Id="rId34" Type="http://schemas.openxmlformats.org/officeDocument/2006/relationships/image" Target="../media/image35.pn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pn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2" Type="http://schemas.openxmlformats.org/officeDocument/2006/relationships/image" Target="../media/image3.emf"/><Relationship Id="rId29" Type="http://schemas.openxmlformats.org/officeDocument/2006/relationships/image" Target="../media/image30.png"/><Relationship Id="rId24" Type="http://schemas.openxmlformats.org/officeDocument/2006/relationships/image" Target="../media/image25.pn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68580</xdr:rowOff>
    </xdr:from>
    <xdr:to>
      <xdr:col>2</xdr:col>
      <xdr:colOff>1706880</xdr:colOff>
      <xdr:row>5</xdr:row>
      <xdr:rowOff>53340</xdr:rowOff>
    </xdr:to>
    <xdr:pic>
      <xdr:nvPicPr>
        <xdr:cNvPr id="2248" name="Picture 3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" y="259080"/>
          <a:ext cx="202692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839</xdr:row>
      <xdr:rowOff>38100</xdr:rowOff>
    </xdr:from>
    <xdr:to>
      <xdr:col>2</xdr:col>
      <xdr:colOff>624840</xdr:colOff>
      <xdr:row>840</xdr:row>
      <xdr:rowOff>0</xdr:rowOff>
    </xdr:to>
    <xdr:pic>
      <xdr:nvPicPr>
        <xdr:cNvPr id="19344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1660" y="150274020"/>
          <a:ext cx="4495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205740</xdr:colOff>
      <xdr:row>900</xdr:row>
      <xdr:rowOff>45720</xdr:rowOff>
    </xdr:from>
    <xdr:to>
      <xdr:col>2</xdr:col>
      <xdr:colOff>624840</xdr:colOff>
      <xdr:row>900</xdr:row>
      <xdr:rowOff>426720</xdr:rowOff>
    </xdr:to>
    <xdr:pic>
      <xdr:nvPicPr>
        <xdr:cNvPr id="19345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2140" y="16133064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182880</xdr:colOff>
      <xdr:row>904</xdr:row>
      <xdr:rowOff>38100</xdr:rowOff>
    </xdr:from>
    <xdr:to>
      <xdr:col>2</xdr:col>
      <xdr:colOff>632460</xdr:colOff>
      <xdr:row>904</xdr:row>
      <xdr:rowOff>396240</xdr:rowOff>
    </xdr:to>
    <xdr:pic>
      <xdr:nvPicPr>
        <xdr:cNvPr id="1934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59280" y="162938460"/>
          <a:ext cx="449580" cy="358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</xdr:colOff>
      <xdr:row>903</xdr:row>
      <xdr:rowOff>45720</xdr:rowOff>
    </xdr:from>
    <xdr:to>
      <xdr:col>2</xdr:col>
      <xdr:colOff>655320</xdr:colOff>
      <xdr:row>903</xdr:row>
      <xdr:rowOff>419100</xdr:rowOff>
    </xdr:to>
    <xdr:pic>
      <xdr:nvPicPr>
        <xdr:cNvPr id="1934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36420" y="162511740"/>
          <a:ext cx="495300" cy="3733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965</xdr:row>
      <xdr:rowOff>7620</xdr:rowOff>
    </xdr:from>
    <xdr:to>
      <xdr:col>2</xdr:col>
      <xdr:colOff>762000</xdr:colOff>
      <xdr:row>972</xdr:row>
      <xdr:rowOff>2687</xdr:rowOff>
    </xdr:to>
    <xdr:pic>
      <xdr:nvPicPr>
        <xdr:cNvPr id="19348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14500" y="173812200"/>
          <a:ext cx="723900" cy="11658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1195</xdr:row>
      <xdr:rowOff>53340</xdr:rowOff>
    </xdr:from>
    <xdr:to>
      <xdr:col>2</xdr:col>
      <xdr:colOff>731520</xdr:colOff>
      <xdr:row>1195</xdr:row>
      <xdr:rowOff>419100</xdr:rowOff>
    </xdr:to>
    <xdr:pic>
      <xdr:nvPicPr>
        <xdr:cNvPr id="1934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78280" y="215021160"/>
          <a:ext cx="929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</xdr:colOff>
      <xdr:row>993</xdr:row>
      <xdr:rowOff>68580</xdr:rowOff>
    </xdr:from>
    <xdr:to>
      <xdr:col>2</xdr:col>
      <xdr:colOff>784860</xdr:colOff>
      <xdr:row>993</xdr:row>
      <xdr:rowOff>373380</xdr:rowOff>
    </xdr:to>
    <xdr:pic>
      <xdr:nvPicPr>
        <xdr:cNvPr id="19350" name="Picture 637" descr="asdfadsfads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9260" y="178978560"/>
          <a:ext cx="762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</xdr:colOff>
      <xdr:row>1112</xdr:row>
      <xdr:rowOff>45720</xdr:rowOff>
    </xdr:from>
    <xdr:to>
      <xdr:col>2</xdr:col>
      <xdr:colOff>693420</xdr:colOff>
      <xdr:row>1120</xdr:row>
      <xdr:rowOff>137160</xdr:rowOff>
    </xdr:to>
    <xdr:pic>
      <xdr:nvPicPr>
        <xdr:cNvPr id="19351" name="Picture 639" descr="222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83080" y="200550780"/>
          <a:ext cx="586740" cy="1432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274320</xdr:colOff>
      <xdr:row>1248</xdr:row>
      <xdr:rowOff>15240</xdr:rowOff>
    </xdr:from>
    <xdr:to>
      <xdr:col>2</xdr:col>
      <xdr:colOff>701040</xdr:colOff>
      <xdr:row>1249</xdr:row>
      <xdr:rowOff>0</xdr:rowOff>
    </xdr:to>
    <xdr:pic>
      <xdr:nvPicPr>
        <xdr:cNvPr id="19352" name="Picture 640" descr="1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50720" y="225315780"/>
          <a:ext cx="4267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1249</xdr:row>
      <xdr:rowOff>38100</xdr:rowOff>
    </xdr:from>
    <xdr:to>
      <xdr:col>2</xdr:col>
      <xdr:colOff>678180</xdr:colOff>
      <xdr:row>1249</xdr:row>
      <xdr:rowOff>411480</xdr:rowOff>
    </xdr:to>
    <xdr:pic>
      <xdr:nvPicPr>
        <xdr:cNvPr id="19353" name="Picture 641" descr="2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81200" y="225772980"/>
          <a:ext cx="37338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388620</xdr:colOff>
      <xdr:row>1250</xdr:row>
      <xdr:rowOff>53340</xdr:rowOff>
    </xdr:from>
    <xdr:to>
      <xdr:col>2</xdr:col>
      <xdr:colOff>632460</xdr:colOff>
      <xdr:row>1250</xdr:row>
      <xdr:rowOff>388620</xdr:rowOff>
    </xdr:to>
    <xdr:pic>
      <xdr:nvPicPr>
        <xdr:cNvPr id="19354" name="Picture 642" descr="7b6d420211dc05624fdfc06bef8941cc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65020" y="226222560"/>
          <a:ext cx="24384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1251</xdr:row>
      <xdr:rowOff>38100</xdr:rowOff>
    </xdr:from>
    <xdr:to>
      <xdr:col>2</xdr:col>
      <xdr:colOff>723900</xdr:colOff>
      <xdr:row>1251</xdr:row>
      <xdr:rowOff>388620</xdr:rowOff>
    </xdr:to>
    <xdr:pic>
      <xdr:nvPicPr>
        <xdr:cNvPr id="19355" name="Picture 643" descr="233086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43100" y="226641660"/>
          <a:ext cx="45720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236220</xdr:colOff>
      <xdr:row>898</xdr:row>
      <xdr:rowOff>15240</xdr:rowOff>
    </xdr:from>
    <xdr:to>
      <xdr:col>2</xdr:col>
      <xdr:colOff>624840</xdr:colOff>
      <xdr:row>898</xdr:row>
      <xdr:rowOff>426720</xdr:rowOff>
    </xdr:to>
    <xdr:pic>
      <xdr:nvPicPr>
        <xdr:cNvPr id="19356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12620" y="160561020"/>
          <a:ext cx="3886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192</xdr:row>
      <xdr:rowOff>38100</xdr:rowOff>
    </xdr:from>
    <xdr:to>
      <xdr:col>2</xdr:col>
      <xdr:colOff>487680</xdr:colOff>
      <xdr:row>192</xdr:row>
      <xdr:rowOff>403860</xdr:rowOff>
    </xdr:to>
    <xdr:pic>
      <xdr:nvPicPr>
        <xdr:cNvPr id="19357" name="Picture 721" descr="ECO-Tango 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96440" y="46710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186</xdr:row>
      <xdr:rowOff>38100</xdr:rowOff>
    </xdr:from>
    <xdr:to>
      <xdr:col>2</xdr:col>
      <xdr:colOff>487680</xdr:colOff>
      <xdr:row>186</xdr:row>
      <xdr:rowOff>403860</xdr:rowOff>
    </xdr:to>
    <xdr:pic>
      <xdr:nvPicPr>
        <xdr:cNvPr id="19358" name="Picture 722" descr="ECO-Tango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96440" y="20193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187</xdr:row>
      <xdr:rowOff>38100</xdr:rowOff>
    </xdr:from>
    <xdr:to>
      <xdr:col>2</xdr:col>
      <xdr:colOff>487680</xdr:colOff>
      <xdr:row>187</xdr:row>
      <xdr:rowOff>403860</xdr:rowOff>
    </xdr:to>
    <xdr:pic>
      <xdr:nvPicPr>
        <xdr:cNvPr id="19359" name="Picture 723" descr="ECO-Tango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96440" y="24612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188</xdr:row>
      <xdr:rowOff>38100</xdr:rowOff>
    </xdr:from>
    <xdr:to>
      <xdr:col>2</xdr:col>
      <xdr:colOff>487680</xdr:colOff>
      <xdr:row>188</xdr:row>
      <xdr:rowOff>403860</xdr:rowOff>
    </xdr:to>
    <xdr:pic>
      <xdr:nvPicPr>
        <xdr:cNvPr id="19360" name="Picture 724" descr="ECO-Tango 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96440" y="290322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189</xdr:row>
      <xdr:rowOff>45720</xdr:rowOff>
    </xdr:from>
    <xdr:to>
      <xdr:col>2</xdr:col>
      <xdr:colOff>487680</xdr:colOff>
      <xdr:row>189</xdr:row>
      <xdr:rowOff>411480</xdr:rowOff>
    </xdr:to>
    <xdr:pic>
      <xdr:nvPicPr>
        <xdr:cNvPr id="19361" name="Picture 725" descr="ECO-Tango 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96440" y="33528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190</xdr:row>
      <xdr:rowOff>45720</xdr:rowOff>
    </xdr:from>
    <xdr:to>
      <xdr:col>2</xdr:col>
      <xdr:colOff>487680</xdr:colOff>
      <xdr:row>190</xdr:row>
      <xdr:rowOff>411480</xdr:rowOff>
    </xdr:to>
    <xdr:pic>
      <xdr:nvPicPr>
        <xdr:cNvPr id="19362" name="Picture 726" descr="ECO-Tango 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96440" y="37947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191</xdr:row>
      <xdr:rowOff>30480</xdr:rowOff>
    </xdr:from>
    <xdr:to>
      <xdr:col>2</xdr:col>
      <xdr:colOff>487680</xdr:colOff>
      <xdr:row>191</xdr:row>
      <xdr:rowOff>396240</xdr:rowOff>
    </xdr:to>
    <xdr:pic>
      <xdr:nvPicPr>
        <xdr:cNvPr id="19363" name="Picture 727" descr="ECO-Tango 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96440" y="422148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361</xdr:row>
      <xdr:rowOff>38100</xdr:rowOff>
    </xdr:from>
    <xdr:to>
      <xdr:col>2</xdr:col>
      <xdr:colOff>480060</xdr:colOff>
      <xdr:row>361</xdr:row>
      <xdr:rowOff>403860</xdr:rowOff>
    </xdr:to>
    <xdr:pic>
      <xdr:nvPicPr>
        <xdr:cNvPr id="19377" name="Picture 750" descr="ECO-Milano 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88820" y="501396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353</xdr:row>
      <xdr:rowOff>30480</xdr:rowOff>
    </xdr:from>
    <xdr:to>
      <xdr:col>2</xdr:col>
      <xdr:colOff>487680</xdr:colOff>
      <xdr:row>353</xdr:row>
      <xdr:rowOff>396240</xdr:rowOff>
    </xdr:to>
    <xdr:pic>
      <xdr:nvPicPr>
        <xdr:cNvPr id="19378" name="Picture 751" descr="ECO-Milano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96440" y="465963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354</xdr:row>
      <xdr:rowOff>30480</xdr:rowOff>
    </xdr:from>
    <xdr:to>
      <xdr:col>2</xdr:col>
      <xdr:colOff>487680</xdr:colOff>
      <xdr:row>354</xdr:row>
      <xdr:rowOff>396240</xdr:rowOff>
    </xdr:to>
    <xdr:pic>
      <xdr:nvPicPr>
        <xdr:cNvPr id="19379" name="Picture 752" descr="ECO-Milano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96440" y="470382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355</xdr:row>
      <xdr:rowOff>38100</xdr:rowOff>
    </xdr:from>
    <xdr:to>
      <xdr:col>2</xdr:col>
      <xdr:colOff>487680</xdr:colOff>
      <xdr:row>355</xdr:row>
      <xdr:rowOff>403860</xdr:rowOff>
    </xdr:to>
    <xdr:pic>
      <xdr:nvPicPr>
        <xdr:cNvPr id="19380" name="Picture 753" descr="ECO-Milano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96440" y="4748784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356</xdr:row>
      <xdr:rowOff>45720</xdr:rowOff>
    </xdr:from>
    <xdr:to>
      <xdr:col>2</xdr:col>
      <xdr:colOff>487680</xdr:colOff>
      <xdr:row>356</xdr:row>
      <xdr:rowOff>411480</xdr:rowOff>
    </xdr:to>
    <xdr:pic>
      <xdr:nvPicPr>
        <xdr:cNvPr id="19381" name="Picture 754" descr="ECO-Milano 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96440" y="4793742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357</xdr:row>
      <xdr:rowOff>30480</xdr:rowOff>
    </xdr:from>
    <xdr:to>
      <xdr:col>2</xdr:col>
      <xdr:colOff>487680</xdr:colOff>
      <xdr:row>357</xdr:row>
      <xdr:rowOff>396240</xdr:rowOff>
    </xdr:to>
    <xdr:pic>
      <xdr:nvPicPr>
        <xdr:cNvPr id="19382" name="Picture 755" descr="ECO-Milano 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96440" y="4836414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358</xdr:row>
      <xdr:rowOff>30480</xdr:rowOff>
    </xdr:from>
    <xdr:to>
      <xdr:col>2</xdr:col>
      <xdr:colOff>487680</xdr:colOff>
      <xdr:row>358</xdr:row>
      <xdr:rowOff>396240</xdr:rowOff>
    </xdr:to>
    <xdr:pic>
      <xdr:nvPicPr>
        <xdr:cNvPr id="19383" name="Picture 756" descr="ECO-Milano 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96440" y="488061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359</xdr:row>
      <xdr:rowOff>38100</xdr:rowOff>
    </xdr:from>
    <xdr:to>
      <xdr:col>2</xdr:col>
      <xdr:colOff>487680</xdr:colOff>
      <xdr:row>359</xdr:row>
      <xdr:rowOff>403860</xdr:rowOff>
    </xdr:to>
    <xdr:pic>
      <xdr:nvPicPr>
        <xdr:cNvPr id="19384" name="Picture 757" descr="ECO-Milano 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96440" y="4925568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360</xdr:row>
      <xdr:rowOff>45720</xdr:rowOff>
    </xdr:from>
    <xdr:to>
      <xdr:col>2</xdr:col>
      <xdr:colOff>487680</xdr:colOff>
      <xdr:row>360</xdr:row>
      <xdr:rowOff>411480</xdr:rowOff>
    </xdr:to>
    <xdr:pic>
      <xdr:nvPicPr>
        <xdr:cNvPr id="19385" name="Picture 758" descr="ECO-Milano 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96440" y="497052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436</xdr:row>
      <xdr:rowOff>38100</xdr:rowOff>
    </xdr:from>
    <xdr:to>
      <xdr:col>2</xdr:col>
      <xdr:colOff>480060</xdr:colOff>
      <xdr:row>436</xdr:row>
      <xdr:rowOff>403860</xdr:rowOff>
    </xdr:to>
    <xdr:pic>
      <xdr:nvPicPr>
        <xdr:cNvPr id="19386" name="Picture 760" descr="ECO-Liano 6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88820" y="657072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431</xdr:row>
      <xdr:rowOff>38100</xdr:rowOff>
    </xdr:from>
    <xdr:to>
      <xdr:col>2</xdr:col>
      <xdr:colOff>487680</xdr:colOff>
      <xdr:row>431</xdr:row>
      <xdr:rowOff>403860</xdr:rowOff>
    </xdr:to>
    <xdr:pic>
      <xdr:nvPicPr>
        <xdr:cNvPr id="19387" name="Picture 761" descr="ECO-Liano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96440" y="634974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432</xdr:row>
      <xdr:rowOff>38100</xdr:rowOff>
    </xdr:from>
    <xdr:to>
      <xdr:col>2</xdr:col>
      <xdr:colOff>487680</xdr:colOff>
      <xdr:row>432</xdr:row>
      <xdr:rowOff>403860</xdr:rowOff>
    </xdr:to>
    <xdr:pic>
      <xdr:nvPicPr>
        <xdr:cNvPr id="19388" name="Picture 762" descr="ECO-Liano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96440" y="6393942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433</xdr:row>
      <xdr:rowOff>30480</xdr:rowOff>
    </xdr:from>
    <xdr:to>
      <xdr:col>2</xdr:col>
      <xdr:colOff>487680</xdr:colOff>
      <xdr:row>433</xdr:row>
      <xdr:rowOff>396240</xdr:rowOff>
    </xdr:to>
    <xdr:pic>
      <xdr:nvPicPr>
        <xdr:cNvPr id="19389" name="Picture 763" descr="ECO-Liano 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96440" y="643737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434</xdr:row>
      <xdr:rowOff>30480</xdr:rowOff>
    </xdr:from>
    <xdr:to>
      <xdr:col>2</xdr:col>
      <xdr:colOff>487680</xdr:colOff>
      <xdr:row>434</xdr:row>
      <xdr:rowOff>396240</xdr:rowOff>
    </xdr:to>
    <xdr:pic>
      <xdr:nvPicPr>
        <xdr:cNvPr id="19390" name="Picture 764" descr="ECO-Liano 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96440" y="6481572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435</xdr:row>
      <xdr:rowOff>30480</xdr:rowOff>
    </xdr:from>
    <xdr:to>
      <xdr:col>2</xdr:col>
      <xdr:colOff>487680</xdr:colOff>
      <xdr:row>435</xdr:row>
      <xdr:rowOff>396240</xdr:rowOff>
    </xdr:to>
    <xdr:pic>
      <xdr:nvPicPr>
        <xdr:cNvPr id="19391" name="Picture 765" descr="ECO-Liano 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96440" y="6525768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91440</xdr:colOff>
      <xdr:row>1</xdr:row>
      <xdr:rowOff>76200</xdr:rowOff>
    </xdr:from>
    <xdr:to>
      <xdr:col>2</xdr:col>
      <xdr:colOff>510540</xdr:colOff>
      <xdr:row>4</xdr:row>
      <xdr:rowOff>106680</xdr:rowOff>
    </xdr:to>
    <xdr:pic>
      <xdr:nvPicPr>
        <xdr:cNvPr id="19392" name="Picture 767" descr="201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0020" y="236220"/>
          <a:ext cx="20269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182880</xdr:colOff>
      <xdr:row>904</xdr:row>
      <xdr:rowOff>38100</xdr:rowOff>
    </xdr:from>
    <xdr:to>
      <xdr:col>2</xdr:col>
      <xdr:colOff>632460</xdr:colOff>
      <xdr:row>904</xdr:row>
      <xdr:rowOff>396240</xdr:rowOff>
    </xdr:to>
    <xdr:pic>
      <xdr:nvPicPr>
        <xdr:cNvPr id="19393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59280" y="162938460"/>
          <a:ext cx="449580" cy="358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</xdr:colOff>
      <xdr:row>903</xdr:row>
      <xdr:rowOff>45720</xdr:rowOff>
    </xdr:from>
    <xdr:to>
      <xdr:col>2</xdr:col>
      <xdr:colOff>655320</xdr:colOff>
      <xdr:row>903</xdr:row>
      <xdr:rowOff>419100</xdr:rowOff>
    </xdr:to>
    <xdr:pic>
      <xdr:nvPicPr>
        <xdr:cNvPr id="19394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36420" y="162511740"/>
          <a:ext cx="495300" cy="3733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182880</xdr:colOff>
      <xdr:row>905</xdr:row>
      <xdr:rowOff>38100</xdr:rowOff>
    </xdr:from>
    <xdr:to>
      <xdr:col>2</xdr:col>
      <xdr:colOff>632460</xdr:colOff>
      <xdr:row>905</xdr:row>
      <xdr:rowOff>396240</xdr:rowOff>
    </xdr:to>
    <xdr:pic>
      <xdr:nvPicPr>
        <xdr:cNvPr id="19395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59280" y="163372800"/>
          <a:ext cx="449580" cy="358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144780</xdr:colOff>
      <xdr:row>1053</xdr:row>
      <xdr:rowOff>160020</xdr:rowOff>
    </xdr:from>
    <xdr:to>
      <xdr:col>2</xdr:col>
      <xdr:colOff>739140</xdr:colOff>
      <xdr:row>1054</xdr:row>
      <xdr:rowOff>251459</xdr:rowOff>
    </xdr:to>
    <xdr:pic>
      <xdr:nvPicPr>
        <xdr:cNvPr id="19396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1180" y="189814200"/>
          <a:ext cx="5943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505</xdr:row>
      <xdr:rowOff>45720</xdr:rowOff>
    </xdr:from>
    <xdr:to>
      <xdr:col>2</xdr:col>
      <xdr:colOff>480060</xdr:colOff>
      <xdr:row>505</xdr:row>
      <xdr:rowOff>403860</xdr:rowOff>
    </xdr:to>
    <xdr:pic>
      <xdr:nvPicPr>
        <xdr:cNvPr id="19397" name="Рисунок 89" descr="Bergamo 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88820" y="7878318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506</xdr:row>
      <xdr:rowOff>38100</xdr:rowOff>
    </xdr:from>
    <xdr:to>
      <xdr:col>2</xdr:col>
      <xdr:colOff>480060</xdr:colOff>
      <xdr:row>506</xdr:row>
      <xdr:rowOff>396240</xdr:rowOff>
    </xdr:to>
    <xdr:pic>
      <xdr:nvPicPr>
        <xdr:cNvPr id="19398" name="Рисунок 90" descr="Bergamo 2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88820" y="7920990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507</xdr:row>
      <xdr:rowOff>38100</xdr:rowOff>
    </xdr:from>
    <xdr:to>
      <xdr:col>2</xdr:col>
      <xdr:colOff>480060</xdr:colOff>
      <xdr:row>507</xdr:row>
      <xdr:rowOff>396240</xdr:rowOff>
    </xdr:to>
    <xdr:pic>
      <xdr:nvPicPr>
        <xdr:cNvPr id="19399" name="Рисунок 91" descr="Bergamo 3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81200" y="79644240"/>
          <a:ext cx="175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508</xdr:row>
      <xdr:rowOff>53340</xdr:rowOff>
    </xdr:from>
    <xdr:to>
      <xdr:col>2</xdr:col>
      <xdr:colOff>472440</xdr:colOff>
      <xdr:row>508</xdr:row>
      <xdr:rowOff>411480</xdr:rowOff>
    </xdr:to>
    <xdr:pic>
      <xdr:nvPicPr>
        <xdr:cNvPr id="19400" name="Рисунок 92" descr="Bergamo 4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81200" y="8009382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509</xdr:row>
      <xdr:rowOff>45720</xdr:rowOff>
    </xdr:from>
    <xdr:to>
      <xdr:col>2</xdr:col>
      <xdr:colOff>472440</xdr:colOff>
      <xdr:row>509</xdr:row>
      <xdr:rowOff>403860</xdr:rowOff>
    </xdr:to>
    <xdr:pic>
      <xdr:nvPicPr>
        <xdr:cNvPr id="19401" name="Рисунок 93" descr="Bergamo 5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81200" y="8052054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510</xdr:row>
      <xdr:rowOff>45720</xdr:rowOff>
    </xdr:from>
    <xdr:to>
      <xdr:col>2</xdr:col>
      <xdr:colOff>472440</xdr:colOff>
      <xdr:row>510</xdr:row>
      <xdr:rowOff>403860</xdr:rowOff>
    </xdr:to>
    <xdr:pic>
      <xdr:nvPicPr>
        <xdr:cNvPr id="19402" name="Рисунок 94" descr="Bergamo 6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81200" y="8095488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579</xdr:row>
      <xdr:rowOff>53340</xdr:rowOff>
    </xdr:from>
    <xdr:to>
      <xdr:col>2</xdr:col>
      <xdr:colOff>487680</xdr:colOff>
      <xdr:row>579</xdr:row>
      <xdr:rowOff>411480</xdr:rowOff>
    </xdr:to>
    <xdr:pic>
      <xdr:nvPicPr>
        <xdr:cNvPr id="19403" name="Рисунок 101" descr="Grande 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88820" y="93924120"/>
          <a:ext cx="175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580</xdr:row>
      <xdr:rowOff>45720</xdr:rowOff>
    </xdr:from>
    <xdr:to>
      <xdr:col>2</xdr:col>
      <xdr:colOff>487680</xdr:colOff>
      <xdr:row>580</xdr:row>
      <xdr:rowOff>426720</xdr:rowOff>
    </xdr:to>
    <xdr:pic>
      <xdr:nvPicPr>
        <xdr:cNvPr id="19404" name="Рисунок 102" descr="Grande 2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96440" y="94350840"/>
          <a:ext cx="16764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581</xdr:row>
      <xdr:rowOff>38100</xdr:rowOff>
    </xdr:from>
    <xdr:to>
      <xdr:col>2</xdr:col>
      <xdr:colOff>495300</xdr:colOff>
      <xdr:row>581</xdr:row>
      <xdr:rowOff>388620</xdr:rowOff>
    </xdr:to>
    <xdr:pic>
      <xdr:nvPicPr>
        <xdr:cNvPr id="19405" name="Рисунок 103" descr="Grande 3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88820" y="94777560"/>
          <a:ext cx="18288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582</xdr:row>
      <xdr:rowOff>38100</xdr:rowOff>
    </xdr:from>
    <xdr:to>
      <xdr:col>2</xdr:col>
      <xdr:colOff>487680</xdr:colOff>
      <xdr:row>582</xdr:row>
      <xdr:rowOff>419100</xdr:rowOff>
    </xdr:to>
    <xdr:pic>
      <xdr:nvPicPr>
        <xdr:cNvPr id="19406" name="Рисунок 104" descr="Grande 4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88820" y="95211900"/>
          <a:ext cx="17526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583</xdr:row>
      <xdr:rowOff>30480</xdr:rowOff>
    </xdr:from>
    <xdr:to>
      <xdr:col>2</xdr:col>
      <xdr:colOff>480060</xdr:colOff>
      <xdr:row>583</xdr:row>
      <xdr:rowOff>403860</xdr:rowOff>
    </xdr:to>
    <xdr:pic>
      <xdr:nvPicPr>
        <xdr:cNvPr id="19407" name="Рисунок 105" descr="Grande 5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81200" y="9563862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584</xdr:row>
      <xdr:rowOff>30480</xdr:rowOff>
    </xdr:from>
    <xdr:to>
      <xdr:col>2</xdr:col>
      <xdr:colOff>487680</xdr:colOff>
      <xdr:row>584</xdr:row>
      <xdr:rowOff>419100</xdr:rowOff>
    </xdr:to>
    <xdr:pic>
      <xdr:nvPicPr>
        <xdr:cNvPr id="19408" name="Рисунок 106" descr="Grande 6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81200" y="96072960"/>
          <a:ext cx="1828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350520</xdr:colOff>
      <xdr:row>656</xdr:row>
      <xdr:rowOff>30480</xdr:rowOff>
    </xdr:from>
    <xdr:to>
      <xdr:col>2</xdr:col>
      <xdr:colOff>525780</xdr:colOff>
      <xdr:row>656</xdr:row>
      <xdr:rowOff>403860</xdr:rowOff>
    </xdr:to>
    <xdr:pic>
      <xdr:nvPicPr>
        <xdr:cNvPr id="19409" name="Рисунок 107" descr="Piano 2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026920" y="11006328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350520</xdr:colOff>
      <xdr:row>655</xdr:row>
      <xdr:rowOff>30480</xdr:rowOff>
    </xdr:from>
    <xdr:to>
      <xdr:col>2</xdr:col>
      <xdr:colOff>518160</xdr:colOff>
      <xdr:row>655</xdr:row>
      <xdr:rowOff>411480</xdr:rowOff>
    </xdr:to>
    <xdr:pic>
      <xdr:nvPicPr>
        <xdr:cNvPr id="19410" name="Рисунок 108" descr="Piano 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26920" y="109628940"/>
          <a:ext cx="16764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769</xdr:row>
      <xdr:rowOff>38100</xdr:rowOff>
    </xdr:from>
    <xdr:to>
      <xdr:col>2</xdr:col>
      <xdr:colOff>480060</xdr:colOff>
      <xdr:row>769</xdr:row>
      <xdr:rowOff>426720</xdr:rowOff>
    </xdr:to>
    <xdr:pic>
      <xdr:nvPicPr>
        <xdr:cNvPr id="19417" name="Рисунок 115" descr="Viento 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81200" y="136588500"/>
          <a:ext cx="17526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289560</xdr:colOff>
      <xdr:row>770</xdr:row>
      <xdr:rowOff>30480</xdr:rowOff>
    </xdr:from>
    <xdr:to>
      <xdr:col>2</xdr:col>
      <xdr:colOff>472440</xdr:colOff>
      <xdr:row>770</xdr:row>
      <xdr:rowOff>411480</xdr:rowOff>
    </xdr:to>
    <xdr:pic>
      <xdr:nvPicPr>
        <xdr:cNvPr id="19418" name="Рисунок 116" descr="Viento 2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65960" y="137015220"/>
          <a:ext cx="18288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771</xdr:row>
      <xdr:rowOff>38100</xdr:rowOff>
    </xdr:from>
    <xdr:to>
      <xdr:col>2</xdr:col>
      <xdr:colOff>480060</xdr:colOff>
      <xdr:row>771</xdr:row>
      <xdr:rowOff>411480</xdr:rowOff>
    </xdr:to>
    <xdr:pic>
      <xdr:nvPicPr>
        <xdr:cNvPr id="19419" name="Рисунок 117" descr="Viento 3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81200" y="13745718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772</xdr:row>
      <xdr:rowOff>30480</xdr:rowOff>
    </xdr:from>
    <xdr:to>
      <xdr:col>2</xdr:col>
      <xdr:colOff>487680</xdr:colOff>
      <xdr:row>772</xdr:row>
      <xdr:rowOff>419100</xdr:rowOff>
    </xdr:to>
    <xdr:pic>
      <xdr:nvPicPr>
        <xdr:cNvPr id="19420" name="Рисунок 118" descr="Viento 4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81200" y="137883900"/>
          <a:ext cx="1828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773</xdr:row>
      <xdr:rowOff>38100</xdr:rowOff>
    </xdr:from>
    <xdr:to>
      <xdr:col>2</xdr:col>
      <xdr:colOff>487680</xdr:colOff>
      <xdr:row>773</xdr:row>
      <xdr:rowOff>419100</xdr:rowOff>
    </xdr:to>
    <xdr:pic>
      <xdr:nvPicPr>
        <xdr:cNvPr id="19421" name="Рисунок 119" descr="Viento 5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88820" y="138325860"/>
          <a:ext cx="17526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289560</xdr:colOff>
      <xdr:row>511</xdr:row>
      <xdr:rowOff>68580</xdr:rowOff>
    </xdr:from>
    <xdr:to>
      <xdr:col>2</xdr:col>
      <xdr:colOff>464820</xdr:colOff>
      <xdr:row>511</xdr:row>
      <xdr:rowOff>419100</xdr:rowOff>
    </xdr:to>
    <xdr:pic>
      <xdr:nvPicPr>
        <xdr:cNvPr id="19422" name="Рисунок 87" descr="Bergamo 1A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65960" y="81412080"/>
          <a:ext cx="17526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513</xdr:row>
      <xdr:rowOff>15240</xdr:rowOff>
    </xdr:from>
    <xdr:to>
      <xdr:col>2</xdr:col>
      <xdr:colOff>472440</xdr:colOff>
      <xdr:row>513</xdr:row>
      <xdr:rowOff>373380</xdr:rowOff>
    </xdr:to>
    <xdr:pic>
      <xdr:nvPicPr>
        <xdr:cNvPr id="19423" name="Рисунок 88" descr="Bergamo 1B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81200" y="8222742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512</xdr:row>
      <xdr:rowOff>30480</xdr:rowOff>
    </xdr:from>
    <xdr:to>
      <xdr:col>2</xdr:col>
      <xdr:colOff>472440</xdr:colOff>
      <xdr:row>512</xdr:row>
      <xdr:rowOff>388620</xdr:rowOff>
    </xdr:to>
    <xdr:pic>
      <xdr:nvPicPr>
        <xdr:cNvPr id="19424" name="Рисунок 89" descr="Bergamo 2A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81200" y="8180832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514</xdr:row>
      <xdr:rowOff>38100</xdr:rowOff>
    </xdr:from>
    <xdr:to>
      <xdr:col>2</xdr:col>
      <xdr:colOff>472440</xdr:colOff>
      <xdr:row>514</xdr:row>
      <xdr:rowOff>411480</xdr:rowOff>
    </xdr:to>
    <xdr:pic>
      <xdr:nvPicPr>
        <xdr:cNvPr id="19425" name="Рисунок 90" descr="Bergamo 2B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81200" y="82684620"/>
          <a:ext cx="16764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362</xdr:row>
      <xdr:rowOff>38100</xdr:rowOff>
    </xdr:from>
    <xdr:to>
      <xdr:col>2</xdr:col>
      <xdr:colOff>480060</xdr:colOff>
      <xdr:row>362</xdr:row>
      <xdr:rowOff>403860</xdr:rowOff>
    </xdr:to>
    <xdr:pic>
      <xdr:nvPicPr>
        <xdr:cNvPr id="19433" name="Рисунок 98" descr="Milano 1A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88820" y="505815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365</xdr:row>
      <xdr:rowOff>45720</xdr:rowOff>
    </xdr:from>
    <xdr:to>
      <xdr:col>2</xdr:col>
      <xdr:colOff>472440</xdr:colOff>
      <xdr:row>365</xdr:row>
      <xdr:rowOff>411480</xdr:rowOff>
    </xdr:to>
    <xdr:pic>
      <xdr:nvPicPr>
        <xdr:cNvPr id="19434" name="Рисунок 99" descr="Milano 1B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81200" y="5191506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363</xdr:row>
      <xdr:rowOff>30480</xdr:rowOff>
    </xdr:from>
    <xdr:to>
      <xdr:col>2</xdr:col>
      <xdr:colOff>480060</xdr:colOff>
      <xdr:row>363</xdr:row>
      <xdr:rowOff>403860</xdr:rowOff>
    </xdr:to>
    <xdr:pic>
      <xdr:nvPicPr>
        <xdr:cNvPr id="19435" name="Рисунок 100" descr="Milano 2A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81200" y="5101590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364</xdr:row>
      <xdr:rowOff>38100</xdr:rowOff>
    </xdr:from>
    <xdr:to>
      <xdr:col>2</xdr:col>
      <xdr:colOff>480060</xdr:colOff>
      <xdr:row>364</xdr:row>
      <xdr:rowOff>403860</xdr:rowOff>
    </xdr:to>
    <xdr:pic>
      <xdr:nvPicPr>
        <xdr:cNvPr id="19436" name="Рисунок 101" descr="Milano 3A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81200" y="51465480"/>
          <a:ext cx="175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437</xdr:row>
      <xdr:rowOff>30480</xdr:rowOff>
    </xdr:from>
    <xdr:to>
      <xdr:col>2</xdr:col>
      <xdr:colOff>480060</xdr:colOff>
      <xdr:row>437</xdr:row>
      <xdr:rowOff>396240</xdr:rowOff>
    </xdr:to>
    <xdr:pic>
      <xdr:nvPicPr>
        <xdr:cNvPr id="19437" name="Рисунок 102" descr="Liano 1A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88820" y="6614160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439</xdr:row>
      <xdr:rowOff>68580</xdr:rowOff>
    </xdr:from>
    <xdr:to>
      <xdr:col>2</xdr:col>
      <xdr:colOff>487680</xdr:colOff>
      <xdr:row>439</xdr:row>
      <xdr:rowOff>434340</xdr:rowOff>
    </xdr:to>
    <xdr:pic>
      <xdr:nvPicPr>
        <xdr:cNvPr id="19438" name="Рисунок 103" descr="Liano 1B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96440" y="67063620"/>
          <a:ext cx="16764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438</xdr:row>
      <xdr:rowOff>45720</xdr:rowOff>
    </xdr:from>
    <xdr:to>
      <xdr:col>2</xdr:col>
      <xdr:colOff>487680</xdr:colOff>
      <xdr:row>438</xdr:row>
      <xdr:rowOff>419100</xdr:rowOff>
    </xdr:to>
    <xdr:pic>
      <xdr:nvPicPr>
        <xdr:cNvPr id="19439" name="Рисунок 104" descr="Liano 2A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88820" y="6659880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335280</xdr:colOff>
      <xdr:row>440</xdr:row>
      <xdr:rowOff>45720</xdr:rowOff>
    </xdr:from>
    <xdr:to>
      <xdr:col>2</xdr:col>
      <xdr:colOff>510540</xdr:colOff>
      <xdr:row>440</xdr:row>
      <xdr:rowOff>411480</xdr:rowOff>
    </xdr:to>
    <xdr:pic>
      <xdr:nvPicPr>
        <xdr:cNvPr id="19440" name="Рисунок 105" descr="Liano 2B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011680" y="67482720"/>
          <a:ext cx="175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585</xdr:row>
      <xdr:rowOff>45720</xdr:rowOff>
    </xdr:from>
    <xdr:to>
      <xdr:col>2</xdr:col>
      <xdr:colOff>487680</xdr:colOff>
      <xdr:row>585</xdr:row>
      <xdr:rowOff>396240</xdr:rowOff>
    </xdr:to>
    <xdr:pic>
      <xdr:nvPicPr>
        <xdr:cNvPr id="19441" name="Рисунок 106" descr="Grande 1A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81200" y="96522540"/>
          <a:ext cx="18288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587</xdr:row>
      <xdr:rowOff>45720</xdr:rowOff>
    </xdr:from>
    <xdr:to>
      <xdr:col>2</xdr:col>
      <xdr:colOff>487680</xdr:colOff>
      <xdr:row>587</xdr:row>
      <xdr:rowOff>403860</xdr:rowOff>
    </xdr:to>
    <xdr:pic>
      <xdr:nvPicPr>
        <xdr:cNvPr id="19442" name="Рисунок 107" descr="Grande 1B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96440" y="97391220"/>
          <a:ext cx="16764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586</xdr:row>
      <xdr:rowOff>38100</xdr:rowOff>
    </xdr:from>
    <xdr:to>
      <xdr:col>2</xdr:col>
      <xdr:colOff>487680</xdr:colOff>
      <xdr:row>586</xdr:row>
      <xdr:rowOff>411480</xdr:rowOff>
    </xdr:to>
    <xdr:pic>
      <xdr:nvPicPr>
        <xdr:cNvPr id="19443" name="Рисунок 108" descr="Grande 2A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88820" y="9694926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</xdr:colOff>
      <xdr:row>588</xdr:row>
      <xdr:rowOff>38100</xdr:rowOff>
    </xdr:from>
    <xdr:to>
      <xdr:col>2</xdr:col>
      <xdr:colOff>495300</xdr:colOff>
      <xdr:row>588</xdr:row>
      <xdr:rowOff>396240</xdr:rowOff>
    </xdr:to>
    <xdr:pic>
      <xdr:nvPicPr>
        <xdr:cNvPr id="19444" name="Рисунок 109" descr="Grande 2B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96440" y="97817940"/>
          <a:ext cx="175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654</xdr:row>
      <xdr:rowOff>30480</xdr:rowOff>
    </xdr:from>
    <xdr:to>
      <xdr:col>2</xdr:col>
      <xdr:colOff>518160</xdr:colOff>
      <xdr:row>654</xdr:row>
      <xdr:rowOff>419100</xdr:rowOff>
    </xdr:to>
    <xdr:pic>
      <xdr:nvPicPr>
        <xdr:cNvPr id="19445" name="Рисунок 110" descr="Piano 1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019300" y="109194600"/>
          <a:ext cx="17526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774</xdr:row>
      <xdr:rowOff>38100</xdr:rowOff>
    </xdr:from>
    <xdr:to>
      <xdr:col>2</xdr:col>
      <xdr:colOff>487680</xdr:colOff>
      <xdr:row>774</xdr:row>
      <xdr:rowOff>411480</xdr:rowOff>
    </xdr:to>
    <xdr:pic>
      <xdr:nvPicPr>
        <xdr:cNvPr id="19450" name="Рисунок 115" descr="Viento 1A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88820" y="138760200"/>
          <a:ext cx="17526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</xdr:colOff>
      <xdr:row>775</xdr:row>
      <xdr:rowOff>30480</xdr:rowOff>
    </xdr:from>
    <xdr:to>
      <xdr:col>2</xdr:col>
      <xdr:colOff>487680</xdr:colOff>
      <xdr:row>775</xdr:row>
      <xdr:rowOff>388620</xdr:rowOff>
    </xdr:to>
    <xdr:pic>
      <xdr:nvPicPr>
        <xdr:cNvPr id="19451" name="Рисунок 116" descr="Viento 1B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88820" y="139186920"/>
          <a:ext cx="17526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1409700</xdr:colOff>
      <xdr:row>1198</xdr:row>
      <xdr:rowOff>7620</xdr:rowOff>
    </xdr:from>
    <xdr:to>
      <xdr:col>2</xdr:col>
      <xdr:colOff>693420</xdr:colOff>
      <xdr:row>1198</xdr:row>
      <xdr:rowOff>381000</xdr:rowOff>
    </xdr:to>
    <xdr:pic>
      <xdr:nvPicPr>
        <xdr:cNvPr id="19452" name="Рисунок 113" descr="OFFICE серебрянный матовый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6583" t="29936" r="6157" b="32484"/>
        <a:stretch>
          <a:fillRect/>
        </a:stretch>
      </xdr:blipFill>
      <xdr:spPr bwMode="auto">
        <a:xfrm>
          <a:off x="1478280" y="216278460"/>
          <a:ext cx="89154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1379220</xdr:colOff>
      <xdr:row>1194</xdr:row>
      <xdr:rowOff>30480</xdr:rowOff>
    </xdr:from>
    <xdr:to>
      <xdr:col>2</xdr:col>
      <xdr:colOff>701040</xdr:colOff>
      <xdr:row>1194</xdr:row>
      <xdr:rowOff>419100</xdr:rowOff>
    </xdr:to>
    <xdr:pic>
      <xdr:nvPicPr>
        <xdr:cNvPr id="19453" name="Рисунок 114" descr="Verona_silver-mat.pn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447800" y="214563960"/>
          <a:ext cx="92964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1325880</xdr:colOff>
      <xdr:row>1196</xdr:row>
      <xdr:rowOff>76200</xdr:rowOff>
    </xdr:from>
    <xdr:to>
      <xdr:col>2</xdr:col>
      <xdr:colOff>662940</xdr:colOff>
      <xdr:row>1196</xdr:row>
      <xdr:rowOff>419100</xdr:rowOff>
    </xdr:to>
    <xdr:pic>
      <xdr:nvPicPr>
        <xdr:cNvPr id="19454" name="Рисунок 115" descr="HANDY  (срібна матова, фото 2).pn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t="27141" r="2415" b="35748"/>
        <a:stretch>
          <a:fillRect/>
        </a:stretch>
      </xdr:blipFill>
      <xdr:spPr bwMode="auto">
        <a:xfrm>
          <a:off x="1394460" y="215478360"/>
          <a:ext cx="94488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1333500</xdr:colOff>
      <xdr:row>1197</xdr:row>
      <xdr:rowOff>15240</xdr:rowOff>
    </xdr:from>
    <xdr:to>
      <xdr:col>2</xdr:col>
      <xdr:colOff>739140</xdr:colOff>
      <xdr:row>1197</xdr:row>
      <xdr:rowOff>403860</xdr:rowOff>
    </xdr:to>
    <xdr:pic>
      <xdr:nvPicPr>
        <xdr:cNvPr id="19455" name="Рисунок 116" descr="Prius (2) - брашированный мат.хром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t="27664" r="1787" b="34123"/>
        <a:stretch>
          <a:fillRect/>
        </a:stretch>
      </xdr:blipFill>
      <xdr:spPr bwMode="auto">
        <a:xfrm>
          <a:off x="1402080" y="215851740"/>
          <a:ext cx="101346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980</xdr:row>
      <xdr:rowOff>7620</xdr:rowOff>
    </xdr:from>
    <xdr:to>
      <xdr:col>2</xdr:col>
      <xdr:colOff>762000</xdr:colOff>
      <xdr:row>987</xdr:row>
      <xdr:rowOff>0</xdr:rowOff>
    </xdr:to>
    <xdr:pic>
      <xdr:nvPicPr>
        <xdr:cNvPr id="19456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14500" y="176326800"/>
          <a:ext cx="723900" cy="11658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205740</xdr:colOff>
      <xdr:row>901</xdr:row>
      <xdr:rowOff>45720</xdr:rowOff>
    </xdr:from>
    <xdr:to>
      <xdr:col>2</xdr:col>
      <xdr:colOff>624840</xdr:colOff>
      <xdr:row>901</xdr:row>
      <xdr:rowOff>426720</xdr:rowOff>
    </xdr:to>
    <xdr:pic>
      <xdr:nvPicPr>
        <xdr:cNvPr id="19457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2140" y="16176498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337073</xdr:colOff>
      <xdr:row>13</xdr:row>
      <xdr:rowOff>32358</xdr:rowOff>
    </xdr:from>
    <xdr:to>
      <xdr:col>2</xdr:col>
      <xdr:colOff>508782</xdr:colOff>
      <xdr:row>13</xdr:row>
      <xdr:rowOff>410296</xdr:rowOff>
    </xdr:to>
    <xdr:pic>
      <xdr:nvPicPr>
        <xdr:cNvPr id="130" name="Рисунок 129" descr="viv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013473" y="1845918"/>
          <a:ext cx="171709" cy="377938"/>
        </a:xfrm>
        <a:prstGeom prst="rect">
          <a:avLst/>
        </a:prstGeom>
      </xdr:spPr>
    </xdr:pic>
    <xdr:clientData/>
  </xdr:twoCellAnchor>
  <xdr:twoCellAnchor editAs="oneCell">
    <xdr:from>
      <xdr:col>2</xdr:col>
      <xdr:colOff>337073</xdr:colOff>
      <xdr:row>14</xdr:row>
      <xdr:rowOff>17118</xdr:rowOff>
    </xdr:from>
    <xdr:to>
      <xdr:col>2</xdr:col>
      <xdr:colOff>508782</xdr:colOff>
      <xdr:row>14</xdr:row>
      <xdr:rowOff>395056</xdr:rowOff>
    </xdr:to>
    <xdr:pic>
      <xdr:nvPicPr>
        <xdr:cNvPr id="131" name="Рисунок 130" descr="viv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013473" y="2272638"/>
          <a:ext cx="171709" cy="377938"/>
        </a:xfrm>
        <a:prstGeom prst="rect">
          <a:avLst/>
        </a:prstGeom>
      </xdr:spPr>
    </xdr:pic>
    <xdr:clientData/>
  </xdr:twoCellAnchor>
  <xdr:twoCellAnchor editAs="oneCell">
    <xdr:from>
      <xdr:col>2</xdr:col>
      <xdr:colOff>337073</xdr:colOff>
      <xdr:row>138</xdr:row>
      <xdr:rowOff>32358</xdr:rowOff>
    </xdr:from>
    <xdr:to>
      <xdr:col>2</xdr:col>
      <xdr:colOff>508782</xdr:colOff>
      <xdr:row>138</xdr:row>
      <xdr:rowOff>410296</xdr:rowOff>
    </xdr:to>
    <xdr:pic>
      <xdr:nvPicPr>
        <xdr:cNvPr id="136" name="Рисунок 135" descr="viv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013473" y="15135198"/>
          <a:ext cx="171709" cy="377938"/>
        </a:xfrm>
        <a:prstGeom prst="rect">
          <a:avLst/>
        </a:prstGeom>
      </xdr:spPr>
    </xdr:pic>
    <xdr:clientData/>
  </xdr:twoCellAnchor>
  <xdr:twoCellAnchor editAs="oneCell">
    <xdr:from>
      <xdr:col>2</xdr:col>
      <xdr:colOff>337073</xdr:colOff>
      <xdr:row>139</xdr:row>
      <xdr:rowOff>17118</xdr:rowOff>
    </xdr:from>
    <xdr:to>
      <xdr:col>2</xdr:col>
      <xdr:colOff>508782</xdr:colOff>
      <xdr:row>139</xdr:row>
      <xdr:rowOff>395056</xdr:rowOff>
    </xdr:to>
    <xdr:pic>
      <xdr:nvPicPr>
        <xdr:cNvPr id="137" name="Рисунок 136" descr="viv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013473" y="15561918"/>
          <a:ext cx="171709" cy="377938"/>
        </a:xfrm>
        <a:prstGeom prst="rect">
          <a:avLst/>
        </a:prstGeom>
      </xdr:spPr>
    </xdr:pic>
    <xdr:clientData/>
  </xdr:twoCellAnchor>
  <xdr:twoCellAnchor editAs="oneCell">
    <xdr:from>
      <xdr:col>2</xdr:col>
      <xdr:colOff>370468</xdr:colOff>
      <xdr:row>53</xdr:row>
      <xdr:rowOff>30480</xdr:rowOff>
    </xdr:from>
    <xdr:to>
      <xdr:col>2</xdr:col>
      <xdr:colOff>530080</xdr:colOff>
      <xdr:row>53</xdr:row>
      <xdr:rowOff>423671</xdr:rowOff>
    </xdr:to>
    <xdr:pic>
      <xdr:nvPicPr>
        <xdr:cNvPr id="138" name="Рисунок 137" descr="elit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2046868" y="9037320"/>
          <a:ext cx="159612" cy="393191"/>
        </a:xfrm>
        <a:prstGeom prst="rect">
          <a:avLst/>
        </a:prstGeom>
      </xdr:spPr>
    </xdr:pic>
    <xdr:clientData/>
  </xdr:twoCellAnchor>
  <xdr:twoCellAnchor editAs="oneCell">
    <xdr:from>
      <xdr:col>2</xdr:col>
      <xdr:colOff>365869</xdr:colOff>
      <xdr:row>54</xdr:row>
      <xdr:rowOff>28312</xdr:rowOff>
    </xdr:from>
    <xdr:to>
      <xdr:col>2</xdr:col>
      <xdr:colOff>525914</xdr:colOff>
      <xdr:row>54</xdr:row>
      <xdr:rowOff>422801</xdr:rowOff>
    </xdr:to>
    <xdr:pic>
      <xdr:nvPicPr>
        <xdr:cNvPr id="139" name="Рисунок 138" descr="elit2.pn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042269" y="9477112"/>
          <a:ext cx="160045" cy="394489"/>
        </a:xfrm>
        <a:prstGeom prst="rect">
          <a:avLst/>
        </a:prstGeom>
      </xdr:spPr>
    </xdr:pic>
    <xdr:clientData/>
  </xdr:twoCellAnchor>
  <xdr:twoCellAnchor editAs="oneCell">
    <xdr:from>
      <xdr:col>2</xdr:col>
      <xdr:colOff>289562</xdr:colOff>
      <xdr:row>87</xdr:row>
      <xdr:rowOff>11301</xdr:rowOff>
    </xdr:from>
    <xdr:to>
      <xdr:col>2</xdr:col>
      <xdr:colOff>472852</xdr:colOff>
      <xdr:row>87</xdr:row>
      <xdr:rowOff>413462</xdr:rowOff>
    </xdr:to>
    <xdr:pic>
      <xdr:nvPicPr>
        <xdr:cNvPr id="140" name="Рисунок 139" descr="florencia.pn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965962" y="14939875"/>
          <a:ext cx="183290" cy="402161"/>
        </a:xfrm>
        <a:prstGeom prst="rect">
          <a:avLst/>
        </a:prstGeom>
      </xdr:spPr>
    </xdr:pic>
    <xdr:clientData/>
  </xdr:twoCellAnchor>
  <xdr:twoCellAnchor editAs="oneCell">
    <xdr:from>
      <xdr:col>2</xdr:col>
      <xdr:colOff>293788</xdr:colOff>
      <xdr:row>88</xdr:row>
      <xdr:rowOff>24597</xdr:rowOff>
    </xdr:from>
    <xdr:to>
      <xdr:col>2</xdr:col>
      <xdr:colOff>477078</xdr:colOff>
      <xdr:row>88</xdr:row>
      <xdr:rowOff>427208</xdr:rowOff>
    </xdr:to>
    <xdr:pic>
      <xdr:nvPicPr>
        <xdr:cNvPr id="141" name="Рисунок 140" descr="florencia2.pn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970188" y="15397119"/>
          <a:ext cx="183290" cy="402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2</xdr:col>
      <xdr:colOff>350520</xdr:colOff>
      <xdr:row>3</xdr:row>
      <xdr:rowOff>38100</xdr:rowOff>
    </xdr:to>
    <xdr:pic>
      <xdr:nvPicPr>
        <xdr:cNvPr id="3352" name="Picture 118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198120"/>
          <a:ext cx="15621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I35"/>
  <sheetViews>
    <sheetView showGridLines="0" topLeftCell="A10" workbookViewId="0">
      <selection activeCell="D3" sqref="D3"/>
    </sheetView>
  </sheetViews>
  <sheetFormatPr defaultColWidth="9.109375" defaultRowHeight="10.199999999999999" x14ac:dyDescent="0.2"/>
  <cols>
    <col min="1" max="1" width="2.5546875" style="61" customWidth="1"/>
    <col min="2" max="2" width="5.109375" style="61" customWidth="1"/>
    <col min="3" max="3" width="41.33203125" style="61" bestFit="1" customWidth="1"/>
    <col min="4" max="4" width="9.109375" style="61"/>
    <col min="5" max="5" width="10.33203125" style="61" customWidth="1"/>
    <col min="6" max="8" width="9.109375" style="61"/>
    <col min="9" max="9" width="9.109375" style="61" customWidth="1"/>
    <col min="10" max="16384" width="9.109375" style="61"/>
  </cols>
  <sheetData>
    <row r="1" spans="1:9" ht="5.0999999999999996" customHeight="1" x14ac:dyDescent="0.2"/>
    <row r="2" spans="1:9" x14ac:dyDescent="0.2">
      <c r="B2" s="316" t="str">
        <f>IF($E$4="ENG","VERSION: 45.00.26","ВЕРСІЯ: 45.00.26")</f>
        <v>ВЕРСІЯ: 45.00.26</v>
      </c>
      <c r="C2" s="316"/>
      <c r="D2" s="64" t="str">
        <f>IF($E$4="ENG","valid from: 16 march 2026","діє з: 16 березня 2026")</f>
        <v>діє з: 16 березня 2026</v>
      </c>
      <c r="I2" s="150" t="s">
        <v>62</v>
      </c>
    </row>
    <row r="3" spans="1:9" x14ac:dyDescent="0.2">
      <c r="B3" s="227"/>
      <c r="I3" s="150" t="s">
        <v>0</v>
      </c>
    </row>
    <row r="4" spans="1:9" x14ac:dyDescent="0.2">
      <c r="D4" s="149" t="str">
        <f>IF(E4="ENG","choose language:","оберіть мову:")</f>
        <v>оберіть мову:</v>
      </c>
      <c r="E4" s="152" t="s">
        <v>62</v>
      </c>
    </row>
    <row r="5" spans="1:9" x14ac:dyDescent="0.2">
      <c r="B5" s="232"/>
    </row>
    <row r="8" spans="1:9" ht="13.2" x14ac:dyDescent="0.25">
      <c r="B8" s="211" t="str">
        <f>IF($E$4="ENG","INTERIOR DOOR LEAFS","ДВЕРІ МІЖКІМНАТНІ ЛАМІНОВАНІ")</f>
        <v>ДВЕРІ МІЖКІМНАТНІ ЛАМІНОВАНІ</v>
      </c>
    </row>
    <row r="9" spans="1:9" ht="13.2" x14ac:dyDescent="0.25">
      <c r="B9" s="211"/>
      <c r="C9" s="253" t="str">
        <f>IF($E$4="ENG","Wooden Door leafs: ECO-VIVA","Полотна збірні: ECO-VIVA")</f>
        <v>Полотна збірні: ECO-VIVA</v>
      </c>
      <c r="D9" s="213"/>
      <c r="E9" s="220"/>
    </row>
    <row r="10" spans="1:9" ht="13.2" x14ac:dyDescent="0.25">
      <c r="B10" s="211"/>
      <c r="C10" s="253" t="str">
        <f>IF($E$4="ENG","Wooden Door leafs: ECO-ELIT","Полотна збірні:  ECO-ELIT")</f>
        <v>Полотна збірні:  ECO-ELIT</v>
      </c>
      <c r="D10" s="213"/>
      <c r="E10" s="220"/>
    </row>
    <row r="11" spans="1:9" ht="13.2" x14ac:dyDescent="0.25">
      <c r="B11" s="211"/>
      <c r="C11" s="253" t="str">
        <f>IF($E$4="ENG","Wooden Door leafs: ECO-FLORENCIA","Полотна збірні:ECO-FLORENCIA")</f>
        <v>Полотна збірні:ECO-FLORENCIA</v>
      </c>
      <c r="D11" s="213"/>
      <c r="E11" s="220"/>
    </row>
    <row r="12" spans="1:9" ht="13.2" x14ac:dyDescent="0.25">
      <c r="B12" s="211"/>
      <c r="C12" s="253" t="str">
        <f>IF($E$4="ENG","Wooden Door leafs: ECO-NEAPOL","Полотна збірні: ECO-NEAPOL")</f>
        <v>Полотна збірні: ECO-NEAPOL</v>
      </c>
      <c r="D12" s="213"/>
      <c r="E12" s="220"/>
    </row>
    <row r="13" spans="1:9" ht="10.8" x14ac:dyDescent="0.2">
      <c r="C13" s="253" t="str">
        <f>IF($E$4="ENG","Wooden Door leafs: ECO-TANGO","Полотна збірні: ECO-TANGO")</f>
        <v>Полотна збірні: ECO-TANGO</v>
      </c>
      <c r="D13" s="213"/>
      <c r="E13" s="220"/>
    </row>
    <row r="14" spans="1:9" ht="10.8" x14ac:dyDescent="0.2">
      <c r="A14" s="62"/>
      <c r="B14" s="212"/>
      <c r="C14" s="253" t="str">
        <f>IF($E$4="ENG","Wooden Door leafs: ECO-MILANO","Полотна збірні: ECO-MILANO")</f>
        <v>Полотна збірні: ECO-MILANO</v>
      </c>
      <c r="D14" s="219"/>
      <c r="E14" s="220"/>
    </row>
    <row r="15" spans="1:9" ht="10.8" x14ac:dyDescent="0.2">
      <c r="A15" s="62"/>
      <c r="B15" s="212"/>
      <c r="C15" s="253" t="str">
        <f>IF($E$4="ENG","Wooden Door leafs: ECO-LIANO","Полотна збірні: ECO-LIANO")</f>
        <v>Полотна збірні: ECO-LIANO</v>
      </c>
      <c r="D15" s="219"/>
      <c r="E15" s="220"/>
    </row>
    <row r="16" spans="1:9" ht="10.8" x14ac:dyDescent="0.2">
      <c r="A16" s="62"/>
      <c r="B16" s="212"/>
      <c r="C16" s="253" t="str">
        <f>IF($E$4="ENG","Wooden Door leafs: ECO-BERGAMO","Полотна збірні: ECO-BERGAMO")</f>
        <v>Полотна збірні: ECO-BERGAMO</v>
      </c>
      <c r="D16" s="276"/>
      <c r="E16" s="220"/>
    </row>
    <row r="17" spans="1:7" ht="10.8" x14ac:dyDescent="0.2">
      <c r="A17" s="62"/>
      <c r="B17" s="212"/>
      <c r="C17" s="253" t="str">
        <f>IF($E$4="ENG","Wooden Door leafs: ECO-GRANDE","Полотна збірні: ECO-GRANDE")</f>
        <v>Полотна збірні: ECO-GRANDE</v>
      </c>
      <c r="D17" s="276"/>
      <c r="E17" s="220"/>
      <c r="G17" s="151"/>
    </row>
    <row r="18" spans="1:7" ht="10.8" x14ac:dyDescent="0.2">
      <c r="A18" s="62"/>
      <c r="B18" s="212"/>
      <c r="C18" s="253" t="str">
        <f>IF($E$4="ENG","Wooden Door leafs: ECO-PIANO","Полотна збірні: ECO-PIANO")</f>
        <v>Полотна збірні: ECO-PIANO</v>
      </c>
      <c r="D18" s="276"/>
      <c r="E18" s="220"/>
    </row>
    <row r="19" spans="1:7" ht="10.8" x14ac:dyDescent="0.2">
      <c r="B19" s="85"/>
      <c r="C19" s="253" t="str">
        <f>IF($E$4="ENG","Wooden Door leafs: ECO-VIENTO","Полотна збірні: ECO-VIENTO")</f>
        <v>Полотна збірні: ECO-VIENTO</v>
      </c>
      <c r="D19" s="276"/>
      <c r="E19" s="220"/>
      <c r="G19" s="151"/>
    </row>
    <row r="21" spans="1:7" ht="13.2" x14ac:dyDescent="0.25">
      <c r="B21" s="211" t="str">
        <f>IF($E$4="ENG","DOOR SLIDING SYSTEMS","РОЗСУВНІ СИСТЕМИ")</f>
        <v>РОЗСУВНІ СИСТЕМИ</v>
      </c>
    </row>
    <row r="22" spans="1:7" ht="10.8" x14ac:dyDescent="0.2">
      <c r="C22" s="254" t="str">
        <f>IF($E$4="ENG","Sliding System ECO-SLIDE","Розсувна система ECO-SLIDE")</f>
        <v>Розсувна система ECO-SLIDE</v>
      </c>
      <c r="D22" s="214"/>
      <c r="E22" s="221"/>
    </row>
    <row r="24" spans="1:7" ht="13.2" x14ac:dyDescent="0.25">
      <c r="B24" s="211" t="str">
        <f>IF($E$4="ENG","DOOR FRAMES AND TRANSOMS","ДВЕРНІ КОРОБКИ ТА ФРАМУГИ")</f>
        <v>ДВЕРНІ КОРОБКИ ТА ФРАМУГИ</v>
      </c>
    </row>
    <row r="25" spans="1:7" ht="10.8" x14ac:dyDescent="0.2">
      <c r="B25" s="222"/>
      <c r="C25" s="254" t="str">
        <f>IF($E$4="ENG","Door Frame: CLASSIC","Дверна коробка CLASSIC")</f>
        <v>Дверна коробка CLASSIC</v>
      </c>
      <c r="D25" s="214"/>
      <c r="E25" s="221"/>
      <c r="G25" s="151"/>
    </row>
    <row r="26" spans="1:7" ht="10.8" x14ac:dyDescent="0.2">
      <c r="B26" s="222"/>
      <c r="C26" s="253" t="str">
        <f>IF($E$4="ENG","Door Frame: ECO-FIT","Дверна коробка ECO-FIT")</f>
        <v>Дверна коробка ECO-FIT</v>
      </c>
      <c r="D26" s="213"/>
      <c r="E26" s="220"/>
    </row>
    <row r="27" spans="1:7" ht="10.8" x14ac:dyDescent="0.2">
      <c r="B27" s="222"/>
      <c r="C27" s="253" t="str">
        <f>IF($E$4="ENG","Door Frame: ECO-FIT Plus","Дверна коробка ECO-FIT Plus")</f>
        <v>Дверна коробка ECO-FIT Plus</v>
      </c>
      <c r="D27" s="213"/>
      <c r="E27" s="220"/>
    </row>
    <row r="28" spans="1:7" ht="10.8" x14ac:dyDescent="0.2">
      <c r="B28" s="222"/>
      <c r="C28" s="253" t="str">
        <f>IF($E$4="ENG","Plinths","Плінтуси")</f>
        <v>Плінтуси</v>
      </c>
      <c r="D28" s="213"/>
      <c r="E28" s="220"/>
    </row>
    <row r="29" spans="1:7" ht="10.8" x14ac:dyDescent="0.2">
      <c r="B29" s="222"/>
      <c r="C29" s="253" t="str">
        <f>IF($E$4="ENG","Transoms","Фрамуги")</f>
        <v>Фрамуги</v>
      </c>
      <c r="D29" s="213"/>
      <c r="E29" s="220"/>
    </row>
    <row r="31" spans="1:7" ht="13.2" x14ac:dyDescent="0.25">
      <c r="B31" s="211" t="str">
        <f>IF($E$4="ENG","OTHER DOOR ACCESSORIES","ІНШІ АКСЕСУАРИ")</f>
        <v>ІНШІ АКСЕСУАРИ</v>
      </c>
    </row>
    <row r="32" spans="1:7" ht="10.8" x14ac:dyDescent="0.2">
      <c r="B32" s="223"/>
      <c r="C32" s="224" t="str">
        <f>IF($E$4="ENG","Door handles and accessories","Дверні Ручки та Комплектуючі")</f>
        <v>Дверні Ручки та Комплектуючі</v>
      </c>
      <c r="D32" s="214"/>
      <c r="E32" s="221"/>
    </row>
    <row r="33" spans="2:5" ht="10.8" x14ac:dyDescent="0.2">
      <c r="B33" s="222"/>
      <c r="C33" s="68" t="str">
        <f>IF($E$4="ENG","Other door accessories","Інші Аксесуари")</f>
        <v>Інші Аксесуари</v>
      </c>
      <c r="D33" s="213"/>
      <c r="E33" s="221"/>
    </row>
    <row r="34" spans="2:5" x14ac:dyDescent="0.2">
      <c r="C34" s="63"/>
    </row>
    <row r="35" spans="2:5" x14ac:dyDescent="0.2">
      <c r="C35" s="63"/>
    </row>
  </sheetData>
  <sheetProtection algorithmName="SHA-512" hashValue="kpuMMEW64I4ESnjRV0CkQaYmXY89fWnniEJ3rh5FpqWQ4eKWSSB0++L/siWRuPIsKtF6eKHp1wYMPEhRDmpw+w==" saltValue="fS09KbpEx+S3bAgFav/pqQ==" spinCount="100000" sheet="1" objects="1" scenarios="1"/>
  <mergeCells count="1">
    <mergeCell ref="B2:C2"/>
  </mergeCells>
  <phoneticPr fontId="5" type="noConversion"/>
  <dataValidations count="1">
    <dataValidation type="list" allowBlank="1" showInputMessage="1" showErrorMessage="1" sqref="E4">
      <formula1>$I$2:$I$3</formula1>
    </dataValidation>
  </dataValidations>
  <hyperlinks>
    <hyperlink ref="C13" location="Door_ECO_Tango" display="Door_ECO_Tango"/>
    <hyperlink ref="C14" location="Door_ECO_Milano" display="Door_ECO_Milano"/>
    <hyperlink ref="C25" location="Frame_Classic" display="Frame_Classic"/>
    <hyperlink ref="C26" location="Frame_ECO_Fit" display="Frame_ECO_Fit"/>
    <hyperlink ref="C29" location="Framugi" display="Framugi"/>
    <hyperlink ref="C33" location="Furniture" display="Фурнитура"/>
    <hyperlink ref="C22" location="ECO_Slide" display="ECO_Slide"/>
    <hyperlink ref="C32" location="DoorHandles" display="Дверные Ручки и Комплектующие"/>
    <hyperlink ref="C28" location="Plinths" display="Plinths"/>
    <hyperlink ref="C15" location="Door_ECO_Liano" display="Door_ECO_Liano"/>
    <hyperlink ref="C16" location="Door_ECO_Bergamo" display="Door_ECO_Bergamo"/>
    <hyperlink ref="C17" location="Door_ECO_Grande" display="Door_ECO_Grande"/>
    <hyperlink ref="C18" location="Door_ECO_Piano" display="Door_ECO_Piano"/>
    <hyperlink ref="C19" location="Door_ECO_Viento" display="Door_ECO_Viento"/>
    <hyperlink ref="C27" location="Frame_ECO_Fit" display="Frame_ECO_Fit"/>
    <hyperlink ref="C9" location="Полотна_збірні__ECO_VIVA" display="Полотна_збірні__ECO_VIVA"/>
    <hyperlink ref="C10" location="Полотна_збірні___ECO_ELIT" display="Полотна_збірні___ECO_ELIT"/>
    <hyperlink ref="C11" location="Полотна_збірні_ECO_FLORENCIA" display="Полотна_збірні_ECO_FLORENCIA"/>
    <hyperlink ref="C12" location="Полотна_збірні__ECO_NEAPOL" display="Полотна_збірні__ECO_NEAPOL"/>
  </hyperlinks>
  <pageMargins left="0.37" right="0.41" top="0.49" bottom="0.49" header="0.5" footer="0.5"/>
  <pageSetup paperSize="9"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</sheetPr>
  <dimension ref="A1:AI1257"/>
  <sheetViews>
    <sheetView showGridLines="0" tabSelected="1" zoomScaleNormal="100" workbookViewId="0">
      <pane ySplit="8" topLeftCell="A9" activePane="bottomLeft" state="frozen"/>
      <selection pane="bottomLeft" activeCell="AE1252" sqref="AE1252"/>
    </sheetView>
  </sheetViews>
  <sheetFormatPr defaultColWidth="9.109375" defaultRowHeight="13.2" x14ac:dyDescent="0.25"/>
  <cols>
    <col min="1" max="1" width="1" style="1" customWidth="1"/>
    <col min="2" max="2" width="23.44140625" style="1" customWidth="1"/>
    <col min="3" max="3" width="11.6640625" style="1" customWidth="1"/>
    <col min="4" max="4" width="6.6640625" style="1" hidden="1" customWidth="1"/>
    <col min="5" max="5" width="15.6640625" style="1" customWidth="1"/>
    <col min="6" max="6" width="6.6640625" style="1" hidden="1" customWidth="1"/>
    <col min="7" max="7" width="15.6640625" style="1" customWidth="1"/>
    <col min="8" max="8" width="6.6640625" style="1" hidden="1" customWidth="1"/>
    <col min="9" max="9" width="15.6640625" style="1" customWidth="1"/>
    <col min="10" max="10" width="6.6640625" style="1" hidden="1" customWidth="1"/>
    <col min="11" max="11" width="15.6640625" style="1" customWidth="1"/>
    <col min="12" max="12" width="6.6640625" style="1" hidden="1" customWidth="1"/>
    <col min="13" max="13" width="15.6640625" style="1" customWidth="1"/>
    <col min="14" max="14" width="6.6640625" style="1" hidden="1" customWidth="1"/>
    <col min="15" max="15" width="15.6640625" style="1" customWidth="1"/>
    <col min="16" max="16" width="6.6640625" style="1" hidden="1" customWidth="1"/>
    <col min="17" max="17" width="15.6640625" style="1" customWidth="1"/>
    <col min="18" max="18" width="6.6640625" style="1" customWidth="1"/>
    <col min="19" max="19" width="15.6640625" style="1" customWidth="1"/>
    <col min="20" max="20" width="9.109375" style="1" hidden="1" customWidth="1"/>
    <col min="21" max="28" width="9.109375" style="8" hidden="1" customWidth="1"/>
    <col min="29" max="30" width="9.109375" style="1" hidden="1" customWidth="1"/>
    <col min="31" max="48" width="9.109375" style="1" customWidth="1"/>
    <col min="49" max="16384" width="9.109375" style="1"/>
  </cols>
  <sheetData>
    <row r="1" spans="1:28" ht="12.75" customHeight="1" x14ac:dyDescent="0.25">
      <c r="B1" s="86" t="str">
        <f>TITLE!B2</f>
        <v>ВЕРСІЯ: 45.00.26</v>
      </c>
      <c r="C1" s="24" t="str">
        <f>TITLE!E4</f>
        <v>UA</v>
      </c>
      <c r="E1" s="354" t="str">
        <f>IF($C$1="ENG","51400, Pavlograd town, 9 Teroshkina Str, tel. (0563) 20 93 80, (0563) 20 93 85","51400, м. Павлоград, вул. Терьошкіна 9, тел. (0563) 20 93 80")</f>
        <v>51400, м. Павлоград, вул. Терьошкіна 9, тел. (0563) 20 93 80</v>
      </c>
      <c r="F1" s="354"/>
      <c r="G1" s="354"/>
      <c r="H1" s="354"/>
      <c r="I1" s="354"/>
      <c r="J1" s="354"/>
      <c r="K1" s="354"/>
      <c r="N1" s="71"/>
      <c r="O1" s="71"/>
      <c r="R1" s="69"/>
      <c r="S1" s="70"/>
      <c r="U1" s="283"/>
    </row>
    <row r="2" spans="1:28" x14ac:dyDescent="0.25">
      <c r="E2" s="355" t="str">
        <f>IF($C$1="ENG","e-mail: info@verto-doors.com.ua, web-site: www.eco-doors.com.ua","e-mail: info@verto-doors.com.ua, web-site: www.eco-doors.com.ua")</f>
        <v>e-mail: info@verto-doors.com.ua, web-site: www.eco-doors.com.ua</v>
      </c>
      <c r="F2" s="355"/>
      <c r="G2" s="355"/>
      <c r="H2" s="355"/>
      <c r="I2" s="355"/>
      <c r="J2" s="355"/>
      <c r="K2" s="355"/>
      <c r="O2" s="236"/>
      <c r="P2" s="236"/>
      <c r="Q2" s="237" t="str">
        <f>IF($C$1="ENG","discount","знижка")</f>
        <v>знижка</v>
      </c>
      <c r="S2" s="238">
        <v>0</v>
      </c>
      <c r="U2" s="284">
        <v>0.2</v>
      </c>
    </row>
    <row r="3" spans="1:28" ht="5.0999999999999996" customHeight="1" x14ac:dyDescent="0.25">
      <c r="E3" s="8"/>
      <c r="H3" s="2"/>
      <c r="J3" s="3"/>
      <c r="K3" s="4"/>
      <c r="O3" s="236"/>
      <c r="P3" s="236"/>
      <c r="R3" s="69"/>
      <c r="U3" s="285">
        <v>0</v>
      </c>
    </row>
    <row r="4" spans="1:28" ht="12.75" customHeight="1" x14ac:dyDescent="0.25">
      <c r="B4" s="229"/>
      <c r="E4" s="352" t="str">
        <f>IF($C$1="ENG","RETAIL PRICES FOR ECO-DOORS PRODUCTS","РОЗДРІБНІ ЦІНИ НА ПРОДУКЦІЮ ТМ ECO-DOORS")</f>
        <v>РОЗДРІБНІ ЦІНИ НА ПРОДУКЦІЮ ТМ ECO-DOORS</v>
      </c>
      <c r="F4" s="352"/>
      <c r="G4" s="352"/>
      <c r="H4" s="352"/>
      <c r="I4" s="352"/>
      <c r="J4" s="352"/>
      <c r="K4" s="352"/>
      <c r="O4" s="236"/>
      <c r="P4" s="236"/>
      <c r="Q4" s="237" t="str">
        <f>IF($C$1="ENG","exchange rate (for 1 UAH)","курс валют (за 1 грн.)")</f>
        <v>курс валют (за 1 грн.)</v>
      </c>
      <c r="S4" s="239">
        <v>1</v>
      </c>
      <c r="U4" s="283"/>
    </row>
    <row r="5" spans="1:28" x14ac:dyDescent="0.25">
      <c r="C5" s="5"/>
      <c r="D5" s="5"/>
      <c r="E5" s="153" t="str">
        <f>TITLE!D2</f>
        <v>діє з: 16 березня 2026</v>
      </c>
      <c r="F5" s="5"/>
      <c r="G5" s="5"/>
      <c r="O5" s="236"/>
      <c r="P5" s="236"/>
      <c r="Q5" s="240" t="str">
        <f>IF($C$1="ENG","VAT","ПДВ")</f>
        <v>ПДВ</v>
      </c>
      <c r="R5" s="241"/>
      <c r="S5" s="242">
        <v>0.2</v>
      </c>
      <c r="U5" s="283"/>
    </row>
    <row r="6" spans="1:28" ht="5.0999999999999996" customHeight="1" x14ac:dyDescent="0.25">
      <c r="C6" s="5"/>
      <c r="D6" s="5"/>
      <c r="E6" s="5"/>
      <c r="F6" s="5"/>
      <c r="G6" s="5"/>
      <c r="U6" s="283"/>
    </row>
    <row r="7" spans="1:28" ht="12.75" customHeight="1" x14ac:dyDescent="0.25">
      <c r="B7" s="358" t="str">
        <f>IF($C$1="ENG","TO MAIN PAGE","НА ГОЛОВНУ")</f>
        <v>НА ГОЛОВНУ</v>
      </c>
      <c r="C7" s="359"/>
      <c r="D7" s="350" t="str">
        <f>IF($C$1="ENG","Price","ціна")</f>
        <v>ціна</v>
      </c>
      <c r="E7" s="351"/>
      <c r="F7" s="350" t="str">
        <f>IF($C$1="ENG","Price","ціна")</f>
        <v>ціна</v>
      </c>
      <c r="G7" s="351"/>
      <c r="H7" s="350" t="str">
        <f>IF($C$1="ENG","Price","ціна")</f>
        <v>ціна</v>
      </c>
      <c r="I7" s="351"/>
      <c r="J7" s="350" t="str">
        <f>IF($C$1="ENG","Price","ціна")</f>
        <v>ціна</v>
      </c>
      <c r="K7" s="351"/>
      <c r="L7" s="350" t="str">
        <f>IF($C$1="ENG","Price","ціна")</f>
        <v>ціна</v>
      </c>
      <c r="M7" s="351"/>
      <c r="N7" s="350" t="str">
        <f>IF($C$1="ENG","Price","ціна")</f>
        <v>ціна</v>
      </c>
      <c r="O7" s="351"/>
      <c r="P7" s="350" t="str">
        <f>IF($C$1="ENG","Price","ціна")</f>
        <v>ціна</v>
      </c>
      <c r="Q7" s="351"/>
      <c r="R7" s="350" t="str">
        <f>IF($C$1="ENG","Price","ціна")</f>
        <v>ціна</v>
      </c>
      <c r="S7" s="351"/>
      <c r="U7" s="283" t="s">
        <v>64</v>
      </c>
      <c r="V7" s="283" t="s">
        <v>65</v>
      </c>
      <c r="W7" s="283" t="s">
        <v>66</v>
      </c>
      <c r="X7" s="283" t="s">
        <v>67</v>
      </c>
      <c r="Y7" s="283" t="s">
        <v>68</v>
      </c>
      <c r="Z7" s="283" t="s">
        <v>69</v>
      </c>
      <c r="AA7" s="283" t="s">
        <v>70</v>
      </c>
      <c r="AB7" s="283" t="s">
        <v>71</v>
      </c>
    </row>
    <row r="8" spans="1:28" x14ac:dyDescent="0.25">
      <c r="B8" s="356" t="str">
        <f>IF($C$1="ENG","Products","Асортимент")</f>
        <v>Асортимент</v>
      </c>
      <c r="C8" s="357"/>
      <c r="D8" s="6" t="s">
        <v>63</v>
      </c>
      <c r="E8" s="7" t="str">
        <f>IF($C$1="ENG",IF($S$5=0.2,"with VAT","no VAT"),IF($S$5=0.2,"з ПДВ","без ПДВ"))</f>
        <v>з ПДВ</v>
      </c>
      <c r="F8" s="6" t="s">
        <v>63</v>
      </c>
      <c r="G8" s="7" t="str">
        <f>IF($C$1="ENG",IF($S$5=0.2,"with VAT","no VAT"),IF($S$5=0.2,"з ПДВ","без ПДВ"))</f>
        <v>з ПДВ</v>
      </c>
      <c r="H8" s="6" t="s">
        <v>63</v>
      </c>
      <c r="I8" s="7" t="str">
        <f>IF($C$1="ENG",IF($S$5=0.2,"with VAT","no VAT"),IF($S$5=0.2,"з ПДВ","без ПДВ"))</f>
        <v>з ПДВ</v>
      </c>
      <c r="J8" s="6" t="s">
        <v>63</v>
      </c>
      <c r="K8" s="7" t="str">
        <f>IF($C$1="ENG",IF($S$5=0.2,"with VAT","no VAT"),IF($S$5=0.2,"з ПДВ","без ПДВ"))</f>
        <v>з ПДВ</v>
      </c>
      <c r="L8" s="6" t="s">
        <v>63</v>
      </c>
      <c r="M8" s="7" t="str">
        <f>IF($C$1="ENG",IF($S$5=0.2,"with VAT","no VAT"),IF($S$5=0.2,"з ПДВ","без ПДВ"))</f>
        <v>з ПДВ</v>
      </c>
      <c r="N8" s="6" t="s">
        <v>63</v>
      </c>
      <c r="O8" s="7" t="str">
        <f>IF($C$1="ENG",IF($S$5=0.2,"with VAT","no VAT"),IF($S$5=0.2,"з ПДВ","без ПДВ"))</f>
        <v>з ПДВ</v>
      </c>
      <c r="P8" s="6" t="s">
        <v>63</v>
      </c>
      <c r="Q8" s="7" t="str">
        <f>IF($C$1="ENG",IF($S$5=0.2,"with VAT","no VAT"),IF($S$5=0.2,"з ПДВ","без ПДВ"))</f>
        <v>з ПДВ</v>
      </c>
      <c r="R8" s="7" t="s">
        <v>63</v>
      </c>
      <c r="S8" s="7" t="str">
        <f>IF($C$1="ENG",IF($S$5=0.2,"with VAT","no VAT"),IF($S$5=0.2,"з ПДВ","без ПДВ"))</f>
        <v>з ПДВ</v>
      </c>
      <c r="U8" s="283"/>
      <c r="V8" s="283"/>
      <c r="W8" s="283"/>
      <c r="X8" s="283"/>
      <c r="Y8" s="283"/>
      <c r="Z8" s="283"/>
      <c r="AA8" s="283"/>
      <c r="AB8" s="283"/>
    </row>
    <row r="9" spans="1:28" s="8" customFormat="1" x14ac:dyDescent="0.25">
      <c r="B9" s="321" t="str">
        <f>TITLE!C9</f>
        <v>Полотна збірні: ECO-VIVA</v>
      </c>
      <c r="C9" s="321"/>
      <c r="D9" s="93"/>
      <c r="E9" s="93"/>
      <c r="F9" s="93"/>
      <c r="G9" s="93"/>
      <c r="H9" s="322"/>
      <c r="I9" s="322"/>
      <c r="J9" s="94"/>
      <c r="K9" s="94"/>
      <c r="L9" s="94"/>
      <c r="M9" s="94"/>
      <c r="N9" s="94"/>
      <c r="O9" s="94"/>
      <c r="P9" s="353"/>
      <c r="Q9" s="353"/>
      <c r="R9" s="353"/>
      <c r="S9" s="353"/>
    </row>
    <row r="10" spans="1:28" s="8" customFormat="1" ht="5.0999999999999996" customHeight="1" x14ac:dyDescent="0.25">
      <c r="B10" s="92"/>
      <c r="C10" s="92"/>
      <c r="D10" s="9"/>
      <c r="E10" s="9"/>
      <c r="F10" s="10"/>
      <c r="G10" s="10"/>
      <c r="H10" s="349"/>
      <c r="I10" s="349"/>
      <c r="P10" s="88"/>
      <c r="Q10" s="88"/>
      <c r="R10" s="88"/>
      <c r="S10" s="88"/>
    </row>
    <row r="11" spans="1:28" ht="12.75" customHeight="1" x14ac:dyDescent="0.25">
      <c r="A11" s="8"/>
      <c r="B11" s="324" t="str">
        <f>IF($C$1="ENG","model","модель")</f>
        <v>модель</v>
      </c>
      <c r="C11" s="95" t="str">
        <f>IF($C$1="ENG","cover:","покриття:")</f>
        <v>покриття:</v>
      </c>
      <c r="D11" s="327" t="str">
        <f>IF($C$1="ENG","ECO-CELL","ECO-CELL")</f>
        <v>ECO-CELL</v>
      </c>
      <c r="E11" s="328"/>
      <c r="F11" s="327" t="str">
        <f>IF($C$1="ENG","ECO-RESIST","ECO-RESIST")</f>
        <v>ECO-RESIST</v>
      </c>
      <c r="G11" s="328"/>
      <c r="H11" s="35"/>
      <c r="I11" s="35"/>
      <c r="J11" s="35"/>
      <c r="K11" s="35"/>
      <c r="L11" s="11"/>
      <c r="M11" s="11"/>
    </row>
    <row r="12" spans="1:28" ht="12.75" customHeight="1" x14ac:dyDescent="0.25">
      <c r="A12" s="8"/>
      <c r="B12" s="325"/>
      <c r="C12" s="96" t="str">
        <f>IF($C$1="ENG","filling:","заповнення:")</f>
        <v>заповнення:</v>
      </c>
      <c r="D12" s="329" t="str">
        <f>IF($C$1="ENG","MDF","MDF")</f>
        <v>MDF</v>
      </c>
      <c r="E12" s="330"/>
      <c r="F12" s="329" t="str">
        <f>IF($C$1="ENG","MDF","MDF")</f>
        <v>MDF</v>
      </c>
      <c r="G12" s="330"/>
      <c r="H12" s="36"/>
      <c r="I12" s="36"/>
      <c r="J12" s="36"/>
      <c r="K12" s="36"/>
      <c r="L12" s="11"/>
      <c r="M12" s="11"/>
    </row>
    <row r="13" spans="1:28" ht="12.75" customHeight="1" x14ac:dyDescent="0.25">
      <c r="A13" s="8"/>
      <c r="B13" s="326"/>
      <c r="C13" s="97" t="str">
        <f>IF($C$1="ENG","glazing:","скління:")</f>
        <v>скління:</v>
      </c>
      <c r="D13" s="331" t="str">
        <f>IF($C$1="ENG","Satin","Сатин")</f>
        <v>Сатин</v>
      </c>
      <c r="E13" s="332"/>
      <c r="F13" s="331" t="str">
        <f>IF($C$1="ENG","Satin","Сатин")</f>
        <v>Сатин</v>
      </c>
      <c r="G13" s="332"/>
      <c r="H13" s="36"/>
      <c r="I13" s="36"/>
      <c r="J13" s="36"/>
      <c r="K13" s="36"/>
      <c r="L13" s="11"/>
      <c r="M13" s="11"/>
      <c r="U13" s="8">
        <v>1.05</v>
      </c>
    </row>
    <row r="14" spans="1:28" ht="35.1" customHeight="1" x14ac:dyDescent="0.25">
      <c r="A14" s="8"/>
      <c r="B14" s="13" t="s">
        <v>73</v>
      </c>
      <c r="C14" s="14"/>
      <c r="D14" s="15">
        <f t="shared" ref="D14:D15" si="0">IF(U14="","",(1-$S$2)*(U14/1.2))</f>
        <v>4616.666666666667</v>
      </c>
      <c r="E14" s="54">
        <f t="shared" ref="E14:E15" si="1">IF($S$5=0.2,D14*1.2,D14)/$S$4</f>
        <v>5540</v>
      </c>
      <c r="F14" s="15">
        <f>IF(V14="","",(1-$S$2)*(V14/1.2))</f>
        <v>5241.666666666667</v>
      </c>
      <c r="G14" s="54">
        <f>IF($S$5=0.2,F14*1.2,F14)/$S$4</f>
        <v>6290</v>
      </c>
      <c r="H14" s="81"/>
      <c r="I14" s="49"/>
      <c r="J14" s="26"/>
      <c r="K14" s="49"/>
      <c r="L14" s="80"/>
      <c r="N14" s="80"/>
      <c r="O14" s="20"/>
      <c r="P14" s="80"/>
      <c r="R14" s="80"/>
      <c r="S14" s="20"/>
      <c r="U14" s="286">
        <v>5540</v>
      </c>
      <c r="V14" s="286">
        <v>6290</v>
      </c>
      <c r="W14" s="286"/>
      <c r="X14" s="286"/>
      <c r="Y14" s="286"/>
      <c r="Z14" s="286"/>
      <c r="AA14" s="286"/>
      <c r="AB14" s="286"/>
    </row>
    <row r="15" spans="1:28" ht="35.1" customHeight="1" x14ac:dyDescent="0.25">
      <c r="A15" s="8"/>
      <c r="B15" s="16" t="s">
        <v>74</v>
      </c>
      <c r="C15" s="17"/>
      <c r="D15" s="18">
        <f t="shared" si="0"/>
        <v>4533.3333333333339</v>
      </c>
      <c r="E15" s="56">
        <f t="shared" si="1"/>
        <v>5440.0000000000009</v>
      </c>
      <c r="F15" s="15">
        <f t="shared" ref="F15" si="2">IF(V15="","",(1-$S$2)*(V15/1.2))</f>
        <v>5241.666666666667</v>
      </c>
      <c r="G15" s="56">
        <f t="shared" ref="G15" si="3">IF($S$5=0.2,F15*1.2,F15)/$S$4</f>
        <v>6290</v>
      </c>
      <c r="H15" s="81"/>
      <c r="I15" s="49"/>
      <c r="J15" s="26"/>
      <c r="K15" s="49"/>
      <c r="L15" s="80"/>
      <c r="N15" s="80"/>
      <c r="O15" s="20"/>
      <c r="P15" s="80"/>
      <c r="R15" s="80"/>
      <c r="S15" s="20"/>
      <c r="U15" s="286">
        <v>5440</v>
      </c>
      <c r="V15" s="286">
        <v>6290</v>
      </c>
      <c r="W15" s="286"/>
      <c r="X15" s="286"/>
      <c r="Y15" s="286"/>
      <c r="Z15" s="286"/>
      <c r="AA15" s="286"/>
      <c r="AB15" s="286"/>
    </row>
    <row r="16" spans="1:28" x14ac:dyDescent="0.25">
      <c r="C16" s="24"/>
      <c r="D16" s="24"/>
      <c r="E16" s="46"/>
      <c r="F16" s="24"/>
      <c r="G16" s="46"/>
      <c r="H16" s="10"/>
      <c r="I16" s="8"/>
      <c r="J16" s="8"/>
      <c r="K16" s="8"/>
    </row>
    <row r="17" spans="2:28" x14ac:dyDescent="0.25">
      <c r="B17" s="155" t="str">
        <f>IF($C$1="ENG","For additonal charge:","Послуги за додаткову плату:")</f>
        <v>Послуги за додаткову плату:</v>
      </c>
      <c r="C17" s="156"/>
      <c r="D17" s="156"/>
      <c r="E17" s="157"/>
      <c r="F17" s="24"/>
      <c r="G17" s="46"/>
      <c r="H17" s="10"/>
      <c r="I17" s="8"/>
      <c r="J17" s="8"/>
      <c r="K17" s="8"/>
    </row>
    <row r="18" spans="2:28" ht="5.0999999999999996" customHeight="1" x14ac:dyDescent="0.25">
      <c r="B18" s="25"/>
      <c r="C18" s="24"/>
      <c r="D18" s="24"/>
      <c r="E18" s="46"/>
      <c r="F18" s="24"/>
      <c r="G18" s="24"/>
      <c r="H18" s="10"/>
      <c r="I18" s="8"/>
      <c r="J18" s="8"/>
      <c r="K18" s="8"/>
    </row>
    <row r="19" spans="2:28" x14ac:dyDescent="0.25">
      <c r="B19" s="317" t="str">
        <f>IF($C$1="ENG","door leaf with width 100","полотно розміром 100")</f>
        <v>полотно розміром 100</v>
      </c>
      <c r="C19" s="318"/>
      <c r="D19" s="100">
        <f t="shared" ref="D19:D25" si="4">IF(U19="","",(1-$S$2)*(U19/1.2))</f>
        <v>708.33333333333337</v>
      </c>
      <c r="E19" s="73">
        <f>IF($S$5=0.2,D19*1.2,D19)/$S$4</f>
        <v>850</v>
      </c>
      <c r="F19" s="24"/>
      <c r="G19" s="24"/>
      <c r="H19" s="10"/>
      <c r="I19" s="8"/>
      <c r="J19" s="8"/>
      <c r="K19" s="8"/>
      <c r="U19" s="286">
        <v>850</v>
      </c>
      <c r="V19" s="286"/>
      <c r="W19" s="286"/>
      <c r="X19" s="286"/>
      <c r="Y19" s="286"/>
      <c r="Z19" s="286"/>
      <c r="AA19" s="286"/>
      <c r="AB19" s="286"/>
    </row>
    <row r="20" spans="2:28" x14ac:dyDescent="0.25">
      <c r="B20" s="319" t="str">
        <f>IF($C$1="ENG","Ventilation sleeves (1 row)","вентиляційні віддушини (1 ряд)")</f>
        <v>вентиляційні віддушини (1 ряд)</v>
      </c>
      <c r="C20" s="320"/>
      <c r="D20" s="101">
        <f t="shared" si="4"/>
        <v>241.66666666666669</v>
      </c>
      <c r="E20" s="74">
        <f>IF($S$5=0.2,D20*1.2,D20)/$S$4</f>
        <v>290</v>
      </c>
      <c r="F20" s="24"/>
      <c r="G20" s="24"/>
      <c r="I20" s="11"/>
      <c r="J20" s="11"/>
      <c r="K20" s="11"/>
      <c r="U20" s="286">
        <v>290</v>
      </c>
      <c r="V20" s="286"/>
      <c r="W20" s="286"/>
      <c r="X20" s="286"/>
      <c r="Y20" s="286"/>
      <c r="Z20" s="286"/>
      <c r="AA20" s="286"/>
      <c r="AB20" s="286"/>
    </row>
    <row r="21" spans="2:28" x14ac:dyDescent="0.25">
      <c r="B21" s="319" t="str">
        <f>IF($C$1="ENG","Ventilation undercut","вентиляційний підріз")</f>
        <v>вентиляційний підріз</v>
      </c>
      <c r="C21" s="320"/>
      <c r="D21" s="79">
        <f t="shared" si="4"/>
        <v>162.5</v>
      </c>
      <c r="E21" s="74">
        <f>IF($S$5=0.2,D21*1.2,D21)/$S$4</f>
        <v>195</v>
      </c>
      <c r="F21" s="24"/>
      <c r="G21" s="24"/>
      <c r="H21" s="5"/>
      <c r="U21" s="286">
        <v>195</v>
      </c>
      <c r="V21" s="286"/>
      <c r="W21" s="286"/>
      <c r="X21" s="286"/>
      <c r="Y21" s="286"/>
      <c r="Z21" s="286"/>
      <c r="AA21" s="286"/>
      <c r="AB21" s="286"/>
    </row>
    <row r="22" spans="2:28" x14ac:dyDescent="0.25">
      <c r="B22" s="319" t="str">
        <f>IF($C$1="ENG","lacobel glass is black","скло lacobel чорне")</f>
        <v>скло lacobel чорне</v>
      </c>
      <c r="C22" s="320"/>
      <c r="D22" s="79">
        <f t="shared" si="4"/>
        <v>433.33333333333337</v>
      </c>
      <c r="E22" s="74">
        <f t="shared" ref="E22" si="5">IF($S$5=0.2,D22*1.2,D22)/$S$4</f>
        <v>520</v>
      </c>
      <c r="F22" s="24"/>
      <c r="G22" s="33"/>
      <c r="H22" s="291"/>
      <c r="U22" s="286">
        <v>520</v>
      </c>
      <c r="V22" s="286"/>
      <c r="W22" s="286"/>
      <c r="X22" s="286"/>
      <c r="Y22" s="286"/>
      <c r="Z22" s="286"/>
      <c r="AA22" s="286"/>
      <c r="AB22" s="286"/>
    </row>
    <row r="23" spans="2:28" x14ac:dyDescent="0.25">
      <c r="B23" s="319" t="str">
        <f>IF($C$1="ENG","door handle-lock (for sliding doors)","ручка-замок (для дверей купе)")</f>
        <v>ручка-замок (для дверей купе)</v>
      </c>
      <c r="C23" s="320"/>
      <c r="D23" s="101">
        <f t="shared" si="4"/>
        <v>533.33333333333337</v>
      </c>
      <c r="E23" s="74">
        <f>IF($S$5=0.2,D23*1.2,D23)/$S$4</f>
        <v>640</v>
      </c>
      <c r="F23" s="24"/>
      <c r="G23" s="24"/>
      <c r="I23" s="11"/>
      <c r="J23" s="11"/>
      <c r="K23" s="19"/>
      <c r="U23" s="286">
        <v>640</v>
      </c>
      <c r="V23" s="286"/>
      <c r="W23" s="286"/>
      <c r="X23" s="286"/>
      <c r="Y23" s="286"/>
      <c r="Z23" s="286"/>
      <c r="AA23" s="286"/>
      <c r="AB23" s="286"/>
    </row>
    <row r="24" spans="2:28" x14ac:dyDescent="0.25">
      <c r="B24" s="319" t="str">
        <f>IF($C$1="ENG","door hinge caps (1 set)","накладка на завіси (1 к-т)")</f>
        <v>накладка на завіси (1 к-т)</v>
      </c>
      <c r="C24" s="320"/>
      <c r="D24" s="103">
        <f t="shared" si="4"/>
        <v>75</v>
      </c>
      <c r="E24" s="74">
        <f>IF($S$5=0.2,D24*1.2,D24)/$S$4</f>
        <v>90</v>
      </c>
      <c r="F24" s="24"/>
      <c r="G24" s="24"/>
      <c r="U24" s="286">
        <v>90</v>
      </c>
      <c r="V24" s="286"/>
      <c r="W24" s="286"/>
      <c r="X24" s="286"/>
      <c r="Y24" s="286"/>
      <c r="Z24" s="286"/>
      <c r="AA24" s="286"/>
      <c r="AB24" s="286"/>
    </row>
    <row r="25" spans="2:28" x14ac:dyDescent="0.25">
      <c r="B25" s="319" t="str">
        <f>IF($C$1="ENG","door handle","дверна ручка")</f>
        <v>дверна ручка</v>
      </c>
      <c r="C25" s="320"/>
      <c r="D25" s="102" t="str">
        <f t="shared" si="4"/>
        <v/>
      </c>
      <c r="E25" s="180" t="str">
        <f>IF($C$1="ENG","see Handles Price","див.Таблицю Ручки")</f>
        <v>див.Таблицю Ручки</v>
      </c>
      <c r="F25" s="24"/>
      <c r="G25" s="24"/>
      <c r="U25" s="286"/>
      <c r="V25" s="286"/>
      <c r="W25" s="286"/>
      <c r="X25" s="286"/>
      <c r="Y25" s="286"/>
      <c r="Z25" s="286"/>
      <c r="AA25" s="286"/>
      <c r="AB25" s="286"/>
    </row>
    <row r="26" spans="2:28" ht="14.25" customHeight="1" x14ac:dyDescent="0.25">
      <c r="C26" s="24"/>
      <c r="D26" s="24"/>
      <c r="E26" s="24"/>
      <c r="F26" s="24"/>
      <c r="G26" s="24"/>
      <c r="H26" s="5"/>
      <c r="P26" s="333" t="str">
        <f>IF($C$1="ENG",CONCATENATE("down to: ",B49),CONCATENATE("вниз до: ",B49))</f>
        <v>вниз до: Полотна збірні:  ECO-ELIT</v>
      </c>
      <c r="Q26" s="333"/>
      <c r="R26" s="333"/>
      <c r="S26" s="333"/>
    </row>
    <row r="27" spans="2:28" ht="14.25" customHeight="1" x14ac:dyDescent="0.25">
      <c r="C27" s="24"/>
      <c r="D27" s="24"/>
      <c r="E27" s="24"/>
      <c r="F27" s="24"/>
      <c r="G27" s="24"/>
      <c r="H27" s="5"/>
      <c r="P27" s="303"/>
      <c r="Q27" s="303"/>
      <c r="R27" s="303"/>
      <c r="S27" s="303"/>
    </row>
    <row r="28" spans="2:28" ht="14.25" customHeight="1" x14ac:dyDescent="0.25">
      <c r="C28" s="24"/>
      <c r="D28" s="24"/>
      <c r="E28" s="24"/>
      <c r="F28" s="24"/>
      <c r="G28" s="24"/>
      <c r="H28" s="5"/>
      <c r="P28" s="303"/>
      <c r="Q28" s="303"/>
      <c r="R28" s="303"/>
      <c r="S28" s="303"/>
    </row>
    <row r="29" spans="2:28" ht="14.25" customHeight="1" x14ac:dyDescent="0.25">
      <c r="C29" s="24"/>
      <c r="D29" s="24"/>
      <c r="E29" s="24"/>
      <c r="F29" s="24"/>
      <c r="G29" s="24"/>
      <c r="H29" s="5"/>
      <c r="P29" s="303"/>
      <c r="Q29" s="303"/>
      <c r="R29" s="303"/>
      <c r="S29" s="303"/>
    </row>
    <row r="30" spans="2:28" ht="14.25" customHeight="1" x14ac:dyDescent="0.25">
      <c r="C30" s="24"/>
      <c r="D30" s="24"/>
      <c r="E30" s="24"/>
      <c r="F30" s="24"/>
      <c r="G30" s="24"/>
      <c r="H30" s="5"/>
      <c r="P30" s="303"/>
      <c r="Q30" s="303"/>
      <c r="R30" s="303"/>
      <c r="S30" s="303"/>
    </row>
    <row r="31" spans="2:28" ht="14.25" customHeight="1" x14ac:dyDescent="0.25">
      <c r="C31" s="24"/>
      <c r="D31" s="24"/>
      <c r="E31" s="24"/>
      <c r="F31" s="24"/>
      <c r="G31" s="24"/>
      <c r="H31" s="5"/>
      <c r="P31" s="303"/>
      <c r="Q31" s="303"/>
      <c r="R31" s="303"/>
      <c r="S31" s="303"/>
    </row>
    <row r="32" spans="2:28" ht="14.25" customHeight="1" x14ac:dyDescent="0.25">
      <c r="C32" s="24"/>
      <c r="D32" s="24"/>
      <c r="E32" s="24"/>
      <c r="F32" s="24"/>
      <c r="G32" s="24"/>
      <c r="H32" s="5"/>
      <c r="P32" s="303"/>
      <c r="Q32" s="303"/>
      <c r="R32" s="303"/>
      <c r="S32" s="303"/>
    </row>
    <row r="33" spans="3:19" ht="14.25" customHeight="1" x14ac:dyDescent="0.25">
      <c r="C33" s="24"/>
      <c r="D33" s="24"/>
      <c r="E33" s="24"/>
      <c r="F33" s="24"/>
      <c r="G33" s="24"/>
      <c r="H33" s="5"/>
      <c r="P33" s="303"/>
      <c r="Q33" s="303"/>
      <c r="R33" s="303"/>
      <c r="S33" s="303"/>
    </row>
    <row r="34" spans="3:19" ht="14.25" customHeight="1" x14ac:dyDescent="0.25">
      <c r="C34" s="24"/>
      <c r="D34" s="24"/>
      <c r="E34" s="24"/>
      <c r="F34" s="24"/>
      <c r="G34" s="24"/>
      <c r="H34" s="5"/>
      <c r="P34" s="303"/>
      <c r="Q34" s="303"/>
      <c r="R34" s="303"/>
      <c r="S34" s="303"/>
    </row>
    <row r="35" spans="3:19" ht="14.25" customHeight="1" x14ac:dyDescent="0.25">
      <c r="C35" s="24"/>
      <c r="D35" s="24"/>
      <c r="E35" s="24"/>
      <c r="F35" s="24"/>
      <c r="G35" s="24"/>
      <c r="H35" s="5"/>
      <c r="P35" s="303"/>
      <c r="Q35" s="303"/>
      <c r="R35" s="303"/>
      <c r="S35" s="303"/>
    </row>
    <row r="36" spans="3:19" ht="14.25" customHeight="1" x14ac:dyDescent="0.25">
      <c r="C36" s="24"/>
      <c r="D36" s="24"/>
      <c r="E36" s="24"/>
      <c r="F36" s="24"/>
      <c r="G36" s="24"/>
      <c r="H36" s="5"/>
      <c r="P36" s="303"/>
      <c r="Q36" s="303"/>
      <c r="R36" s="303"/>
      <c r="S36" s="303"/>
    </row>
    <row r="37" spans="3:19" ht="14.25" customHeight="1" x14ac:dyDescent="0.25">
      <c r="C37" s="24"/>
      <c r="D37" s="24"/>
      <c r="E37" s="24"/>
      <c r="F37" s="24"/>
      <c r="G37" s="24"/>
      <c r="H37" s="5"/>
      <c r="P37" s="303"/>
      <c r="Q37" s="303"/>
      <c r="R37" s="303"/>
      <c r="S37" s="303"/>
    </row>
    <row r="38" spans="3:19" ht="14.25" customHeight="1" x14ac:dyDescent="0.25">
      <c r="C38" s="24"/>
      <c r="D38" s="24"/>
      <c r="E38" s="24"/>
      <c r="F38" s="24"/>
      <c r="G38" s="24"/>
      <c r="H38" s="5"/>
      <c r="P38" s="303"/>
      <c r="Q38" s="303"/>
      <c r="R38" s="303"/>
      <c r="S38" s="303"/>
    </row>
    <row r="39" spans="3:19" ht="14.25" customHeight="1" x14ac:dyDescent="0.25">
      <c r="C39" s="24"/>
      <c r="D39" s="24"/>
      <c r="E39" s="24"/>
      <c r="F39" s="24"/>
      <c r="G39" s="24"/>
      <c r="H39" s="5"/>
      <c r="P39" s="303"/>
      <c r="Q39" s="303"/>
      <c r="R39" s="303"/>
      <c r="S39" s="303"/>
    </row>
    <row r="40" spans="3:19" ht="14.25" customHeight="1" x14ac:dyDescent="0.25">
      <c r="C40" s="24"/>
      <c r="D40" s="24"/>
      <c r="E40" s="24"/>
      <c r="F40" s="24"/>
      <c r="G40" s="24"/>
      <c r="H40" s="5"/>
      <c r="P40" s="303"/>
      <c r="Q40" s="303"/>
      <c r="R40" s="303"/>
      <c r="S40" s="303"/>
    </row>
    <row r="41" spans="3:19" ht="14.25" customHeight="1" x14ac:dyDescent="0.25">
      <c r="C41" s="24"/>
      <c r="D41" s="24"/>
      <c r="E41" s="24"/>
      <c r="F41" s="24"/>
      <c r="G41" s="24"/>
      <c r="H41" s="5"/>
      <c r="P41" s="303"/>
      <c r="Q41" s="303"/>
      <c r="R41" s="303"/>
      <c r="S41" s="303"/>
    </row>
    <row r="42" spans="3:19" ht="14.25" customHeight="1" x14ac:dyDescent="0.25">
      <c r="C42" s="24"/>
      <c r="D42" s="24"/>
      <c r="E42" s="24"/>
      <c r="F42" s="24"/>
      <c r="G42" s="24"/>
      <c r="H42" s="5"/>
      <c r="P42" s="303"/>
      <c r="Q42" s="303"/>
      <c r="R42" s="303"/>
      <c r="S42" s="303"/>
    </row>
    <row r="43" spans="3:19" ht="14.25" customHeight="1" x14ac:dyDescent="0.25">
      <c r="C43" s="24"/>
      <c r="D43" s="24"/>
      <c r="E43" s="24"/>
      <c r="F43" s="24"/>
      <c r="G43" s="24"/>
      <c r="H43" s="5"/>
      <c r="P43" s="303"/>
      <c r="Q43" s="303"/>
      <c r="R43" s="303"/>
      <c r="S43" s="303"/>
    </row>
    <row r="44" spans="3:19" ht="14.25" customHeight="1" x14ac:dyDescent="0.25">
      <c r="C44" s="24"/>
      <c r="D44" s="24"/>
      <c r="E44" s="24"/>
      <c r="F44" s="24"/>
      <c r="G44" s="24"/>
      <c r="H44" s="5"/>
      <c r="P44" s="303"/>
      <c r="Q44" s="303"/>
      <c r="R44" s="303"/>
      <c r="S44" s="303"/>
    </row>
    <row r="45" spans="3:19" ht="14.25" customHeight="1" x14ac:dyDescent="0.25">
      <c r="C45" s="24"/>
      <c r="D45" s="24"/>
      <c r="E45" s="24"/>
      <c r="F45" s="24"/>
      <c r="G45" s="24"/>
      <c r="H45" s="5"/>
      <c r="P45" s="303"/>
      <c r="Q45" s="303"/>
      <c r="R45" s="303"/>
      <c r="S45" s="303"/>
    </row>
    <row r="46" spans="3:19" ht="14.25" customHeight="1" x14ac:dyDescent="0.25">
      <c r="C46" s="24"/>
      <c r="D46" s="24"/>
      <c r="E46" s="24"/>
      <c r="F46" s="24"/>
      <c r="G46" s="24"/>
      <c r="H46" s="5"/>
      <c r="P46" s="303"/>
      <c r="Q46" s="303"/>
      <c r="R46" s="303"/>
      <c r="S46" s="303"/>
    </row>
    <row r="47" spans="3:19" ht="14.25" customHeight="1" x14ac:dyDescent="0.25">
      <c r="C47" s="24"/>
      <c r="D47" s="24"/>
      <c r="E47" s="24"/>
      <c r="F47" s="24"/>
      <c r="G47" s="24"/>
      <c r="H47" s="5"/>
      <c r="P47" s="303"/>
      <c r="Q47" s="303"/>
      <c r="R47" s="303"/>
      <c r="S47" s="303"/>
    </row>
    <row r="48" spans="3:19" ht="14.25" customHeight="1" x14ac:dyDescent="0.25">
      <c r="C48" s="24"/>
      <c r="D48" s="24"/>
      <c r="E48" s="24"/>
      <c r="F48" s="24"/>
      <c r="G48" s="24"/>
      <c r="H48" s="5"/>
      <c r="P48" s="303"/>
      <c r="Q48" s="303"/>
      <c r="R48" s="303"/>
      <c r="S48" s="303"/>
    </row>
    <row r="49" spans="1:28" s="8" customFormat="1" x14ac:dyDescent="0.25">
      <c r="B49" s="321" t="str">
        <f>TITLE!C10</f>
        <v>Полотна збірні:  ECO-ELIT</v>
      </c>
      <c r="C49" s="321"/>
      <c r="D49" s="93"/>
      <c r="E49" s="93"/>
      <c r="F49" s="93"/>
      <c r="G49" s="93"/>
      <c r="H49" s="322"/>
      <c r="I49" s="322"/>
      <c r="J49" s="94"/>
      <c r="K49" s="94"/>
      <c r="L49" s="94"/>
      <c r="M49" s="94"/>
      <c r="N49" s="94"/>
      <c r="O49" s="94"/>
      <c r="P49" s="353"/>
      <c r="Q49" s="353"/>
      <c r="R49" s="353"/>
      <c r="S49" s="353"/>
    </row>
    <row r="50" spans="1:28" s="8" customFormat="1" ht="5.0999999999999996" customHeight="1" x14ac:dyDescent="0.25">
      <c r="B50" s="92"/>
      <c r="C50" s="92"/>
      <c r="D50" s="9"/>
      <c r="E50" s="9"/>
      <c r="F50" s="10"/>
      <c r="G50" s="10"/>
      <c r="H50" s="349"/>
      <c r="I50" s="349"/>
      <c r="P50" s="88"/>
      <c r="Q50" s="88"/>
      <c r="R50" s="88"/>
      <c r="S50" s="88"/>
    </row>
    <row r="51" spans="1:28" ht="12.75" customHeight="1" x14ac:dyDescent="0.25">
      <c r="A51" s="8"/>
      <c r="B51" s="324" t="str">
        <f>IF($C$1="ENG","model","модель")</f>
        <v>модель</v>
      </c>
      <c r="C51" s="95" t="str">
        <f>IF($C$1="ENG","cover:","покриття:")</f>
        <v>покриття:</v>
      </c>
      <c r="D51" s="327" t="str">
        <f>IF($C$1="ENG","ECO-CELL","ECO-CELL")</f>
        <v>ECO-CELL</v>
      </c>
      <c r="E51" s="328"/>
      <c r="F51" s="327" t="str">
        <f>IF($C$1="ENG","ECO-RESIST","ECO-RESIST")</f>
        <v>ECO-RESIST</v>
      </c>
      <c r="G51" s="328"/>
      <c r="H51" s="35"/>
      <c r="I51" s="35"/>
      <c r="J51" s="35"/>
      <c r="K51" s="35"/>
      <c r="L51" s="11"/>
      <c r="M51" s="11"/>
    </row>
    <row r="52" spans="1:28" ht="12.75" customHeight="1" x14ac:dyDescent="0.25">
      <c r="A52" s="8"/>
      <c r="B52" s="325"/>
      <c r="C52" s="96" t="str">
        <f>IF($C$1="ENG","filling:","заповнення:")</f>
        <v>заповнення:</v>
      </c>
      <c r="D52" s="329" t="str">
        <f>IF($C$1="ENG","MDF","MDF")</f>
        <v>MDF</v>
      </c>
      <c r="E52" s="330"/>
      <c r="F52" s="329" t="str">
        <f>IF($C$1="ENG","MDF","MDF")</f>
        <v>MDF</v>
      </c>
      <c r="G52" s="330"/>
      <c r="H52" s="36"/>
      <c r="I52" s="36"/>
      <c r="J52" s="36"/>
      <c r="K52" s="36"/>
      <c r="L52" s="11"/>
      <c r="M52" s="11"/>
    </row>
    <row r="53" spans="1:28" ht="12.75" customHeight="1" x14ac:dyDescent="0.25">
      <c r="A53" s="8"/>
      <c r="B53" s="326"/>
      <c r="C53" s="97" t="str">
        <f>IF($C$1="ENG","glazing:","скління:")</f>
        <v>скління:</v>
      </c>
      <c r="D53" s="331" t="str">
        <f>IF($C$1="ENG","Satin","Сатин")</f>
        <v>Сатин</v>
      </c>
      <c r="E53" s="332"/>
      <c r="F53" s="331" t="str">
        <f>IF($C$1="ENG","Satin","Сатин")</f>
        <v>Сатин</v>
      </c>
      <c r="G53" s="332"/>
      <c r="H53" s="36"/>
      <c r="I53" s="36"/>
      <c r="J53" s="36"/>
      <c r="K53" s="36"/>
      <c r="L53" s="11"/>
      <c r="M53" s="11"/>
    </row>
    <row r="54" spans="1:28" ht="35.1" customHeight="1" x14ac:dyDescent="0.25">
      <c r="A54" s="8"/>
      <c r="B54" s="13" t="s">
        <v>75</v>
      </c>
      <c r="C54" s="14"/>
      <c r="D54" s="15">
        <f t="shared" ref="D54:D55" si="6">IF(U54="","",(1-$S$2)*(U54/1.2))</f>
        <v>4450</v>
      </c>
      <c r="E54" s="54">
        <f t="shared" ref="E54:E55" si="7">IF($S$5=0.2,D54*1.2,D54)/$S$4</f>
        <v>5340</v>
      </c>
      <c r="F54" s="15">
        <f>IF(V54="","",(1-$S$2)*(V54/1.2))</f>
        <v>5158.3333333333339</v>
      </c>
      <c r="G54" s="54">
        <f>IF($S$5=0.2,F54*1.2,F54)/$S$4</f>
        <v>6190.0000000000009</v>
      </c>
      <c r="H54" s="81"/>
      <c r="I54" s="49"/>
      <c r="J54" s="26"/>
      <c r="K54" s="49"/>
      <c r="L54" s="80"/>
      <c r="N54" s="80"/>
      <c r="O54" s="20"/>
      <c r="P54" s="80"/>
      <c r="R54" s="80"/>
      <c r="S54" s="20"/>
      <c r="U54" s="286">
        <v>5340</v>
      </c>
      <c r="V54" s="286">
        <v>6190</v>
      </c>
      <c r="W54" s="286"/>
      <c r="X54" s="286"/>
      <c r="Y54" s="286"/>
      <c r="Z54" s="286"/>
      <c r="AA54" s="286"/>
      <c r="AB54" s="286"/>
    </row>
    <row r="55" spans="1:28" ht="35.1" customHeight="1" x14ac:dyDescent="0.25">
      <c r="A55" s="8"/>
      <c r="B55" s="16" t="s">
        <v>76</v>
      </c>
      <c r="C55" s="17"/>
      <c r="D55" s="18">
        <f t="shared" si="6"/>
        <v>4450</v>
      </c>
      <c r="E55" s="56">
        <f t="shared" si="7"/>
        <v>5340</v>
      </c>
      <c r="F55" s="15">
        <f t="shared" ref="F55" si="8">IF(V55="","",(1-$S$2)*(V55/1.2))</f>
        <v>5158.3333333333339</v>
      </c>
      <c r="G55" s="56">
        <f t="shared" ref="G55" si="9">IF($S$5=0.2,F55*1.2,F55)/$S$4</f>
        <v>6190.0000000000009</v>
      </c>
      <c r="H55" s="81"/>
      <c r="I55" s="49"/>
      <c r="J55" s="26"/>
      <c r="K55" s="49"/>
      <c r="L55" s="80"/>
      <c r="N55" s="80"/>
      <c r="O55" s="20"/>
      <c r="P55" s="80"/>
      <c r="R55" s="80"/>
      <c r="S55" s="20"/>
      <c r="U55" s="286">
        <v>5340</v>
      </c>
      <c r="V55" s="286">
        <v>6190</v>
      </c>
      <c r="W55" s="286"/>
      <c r="X55" s="286"/>
      <c r="Y55" s="286"/>
      <c r="Z55" s="286"/>
      <c r="AA55" s="286"/>
      <c r="AB55" s="286"/>
    </row>
    <row r="56" spans="1:28" x14ac:dyDescent="0.25">
      <c r="C56" s="24"/>
      <c r="D56" s="24"/>
      <c r="E56" s="46"/>
      <c r="F56" s="24"/>
      <c r="G56" s="46"/>
      <c r="H56" s="10"/>
      <c r="I56" s="8"/>
      <c r="J56" s="8"/>
      <c r="K56" s="8"/>
    </row>
    <row r="57" spans="1:28" x14ac:dyDescent="0.25">
      <c r="B57" s="155" t="str">
        <f>IF($C$1="ENG","For additonal charge:","Послуги за додаткову плату:")</f>
        <v>Послуги за додаткову плату:</v>
      </c>
      <c r="C57" s="156"/>
      <c r="D57" s="156"/>
      <c r="E57" s="157"/>
      <c r="F57" s="24"/>
      <c r="G57" s="46"/>
      <c r="H57" s="10"/>
      <c r="I57" s="8"/>
      <c r="J57" s="8"/>
      <c r="K57" s="8"/>
    </row>
    <row r="58" spans="1:28" ht="5.0999999999999996" customHeight="1" x14ac:dyDescent="0.25">
      <c r="B58" s="25"/>
      <c r="C58" s="24"/>
      <c r="D58" s="24"/>
      <c r="E58" s="46"/>
      <c r="F58" s="24"/>
      <c r="G58" s="24"/>
      <c r="H58" s="10"/>
      <c r="I58" s="8"/>
      <c r="J58" s="8"/>
      <c r="K58" s="8"/>
    </row>
    <row r="59" spans="1:28" x14ac:dyDescent="0.25">
      <c r="B59" s="317" t="str">
        <f>IF($C$1="ENG","door leaf with width 100","полотно розміром 100")</f>
        <v>полотно розміром 100</v>
      </c>
      <c r="C59" s="318"/>
      <c r="D59" s="100">
        <f t="shared" ref="D59:D65" si="10">IF(U59="","",(1-$S$2)*(U59/1.2))</f>
        <v>708.33333333333337</v>
      </c>
      <c r="E59" s="73">
        <f>IF($S$5=0.2,D59*1.2,D59)/$S$4</f>
        <v>850</v>
      </c>
      <c r="F59" s="24"/>
      <c r="G59" s="24"/>
      <c r="H59" s="10"/>
      <c r="I59" s="8"/>
      <c r="J59" s="8"/>
      <c r="K59" s="8"/>
      <c r="U59" s="286">
        <v>850</v>
      </c>
      <c r="V59" s="286"/>
      <c r="W59" s="286"/>
      <c r="X59" s="286"/>
      <c r="Y59" s="286"/>
      <c r="Z59" s="286"/>
      <c r="AA59" s="286"/>
      <c r="AB59" s="286"/>
    </row>
    <row r="60" spans="1:28" x14ac:dyDescent="0.25">
      <c r="B60" s="319" t="str">
        <f>IF($C$1="ENG","Ventilation sleeves (1 row)","вентиляційні віддушини (1 ряд)")</f>
        <v>вентиляційні віддушини (1 ряд)</v>
      </c>
      <c r="C60" s="320"/>
      <c r="D60" s="101">
        <f t="shared" si="10"/>
        <v>241.66666666666669</v>
      </c>
      <c r="E60" s="74">
        <f>IF($S$5=0.2,D60*1.2,D60)/$S$4</f>
        <v>290</v>
      </c>
      <c r="F60" s="24"/>
      <c r="G60" s="24"/>
      <c r="I60" s="11"/>
      <c r="J60" s="11"/>
      <c r="K60" s="11"/>
      <c r="U60" s="286">
        <v>290</v>
      </c>
      <c r="V60" s="286"/>
      <c r="W60" s="286"/>
      <c r="X60" s="286"/>
      <c r="Y60" s="286"/>
      <c r="Z60" s="286"/>
      <c r="AA60" s="286"/>
      <c r="AB60" s="286"/>
    </row>
    <row r="61" spans="1:28" x14ac:dyDescent="0.25">
      <c r="B61" s="319" t="str">
        <f>IF($C$1="ENG","Ventilation undercut","вентиляційний підріз")</f>
        <v>вентиляційний підріз</v>
      </c>
      <c r="C61" s="320"/>
      <c r="D61" s="79">
        <f t="shared" si="10"/>
        <v>162.5</v>
      </c>
      <c r="E61" s="74">
        <f>IF($S$5=0.2,D61*1.2,D61)/$S$4</f>
        <v>195</v>
      </c>
      <c r="F61" s="24"/>
      <c r="G61" s="24"/>
      <c r="H61" s="5"/>
      <c r="U61" s="286">
        <v>195</v>
      </c>
      <c r="V61" s="286"/>
      <c r="W61" s="286"/>
      <c r="X61" s="286"/>
      <c r="Y61" s="286"/>
      <c r="Z61" s="286"/>
      <c r="AA61" s="286"/>
      <c r="AB61" s="286"/>
    </row>
    <row r="62" spans="1:28" x14ac:dyDescent="0.25">
      <c r="B62" s="319" t="str">
        <f>IF($C$1="ENG","lacobel glass is black","скло lacobel чорне")</f>
        <v>скло lacobel чорне</v>
      </c>
      <c r="C62" s="320"/>
      <c r="D62" s="79">
        <f t="shared" si="10"/>
        <v>433.33333333333337</v>
      </c>
      <c r="E62" s="74">
        <f t="shared" ref="E62" si="11">IF($S$5=0.2,D62*1.2,D62)/$S$4</f>
        <v>520</v>
      </c>
      <c r="F62" s="24"/>
      <c r="G62" s="33"/>
      <c r="H62" s="291"/>
      <c r="U62" s="286">
        <v>520</v>
      </c>
      <c r="V62" s="286"/>
      <c r="W62" s="286"/>
      <c r="X62" s="286"/>
      <c r="Y62" s="286"/>
      <c r="Z62" s="286"/>
      <c r="AA62" s="286"/>
      <c r="AB62" s="286"/>
    </row>
    <row r="63" spans="1:28" x14ac:dyDescent="0.25">
      <c r="B63" s="319" t="str">
        <f>IF($C$1="ENG","door handle-lock (for sliding doors)","ручка-замок (для дверей купе)")</f>
        <v>ручка-замок (для дверей купе)</v>
      </c>
      <c r="C63" s="320"/>
      <c r="D63" s="101">
        <f t="shared" si="10"/>
        <v>533.33333333333337</v>
      </c>
      <c r="E63" s="74">
        <f>IF($S$5=0.2,D63*1.2,D63)/$S$4</f>
        <v>640</v>
      </c>
      <c r="F63" s="24"/>
      <c r="G63" s="24"/>
      <c r="I63" s="11"/>
      <c r="J63" s="11"/>
      <c r="K63" s="19"/>
      <c r="U63" s="286">
        <v>640</v>
      </c>
      <c r="V63" s="286"/>
      <c r="W63" s="286"/>
      <c r="X63" s="286"/>
      <c r="Y63" s="286"/>
      <c r="Z63" s="286"/>
      <c r="AA63" s="286"/>
      <c r="AB63" s="286"/>
    </row>
    <row r="64" spans="1:28" x14ac:dyDescent="0.25">
      <c r="B64" s="319" t="str">
        <f>IF($C$1="ENG","door hinge caps (1 set)","накладка на завіси (1 к-т)")</f>
        <v>накладка на завіси (1 к-т)</v>
      </c>
      <c r="C64" s="320"/>
      <c r="D64" s="103">
        <f t="shared" si="10"/>
        <v>75</v>
      </c>
      <c r="E64" s="74">
        <f>IF($S$5=0.2,D64*1.2,D64)/$S$4</f>
        <v>90</v>
      </c>
      <c r="F64" s="24"/>
      <c r="G64" s="24"/>
      <c r="U64" s="286">
        <v>90</v>
      </c>
      <c r="V64" s="286"/>
      <c r="W64" s="286"/>
      <c r="X64" s="286"/>
      <c r="Y64" s="286"/>
      <c r="Z64" s="286"/>
      <c r="AA64" s="286"/>
      <c r="AB64" s="286"/>
    </row>
    <row r="65" spans="2:28" x14ac:dyDescent="0.25">
      <c r="B65" s="319" t="str">
        <f>IF($C$1="ENG","door handle","дверна ручка")</f>
        <v>дверна ручка</v>
      </c>
      <c r="C65" s="320"/>
      <c r="D65" s="102" t="str">
        <f t="shared" si="10"/>
        <v/>
      </c>
      <c r="E65" s="180" t="str">
        <f>IF($C$1="ENG","see Handles Price","див.Таблицю Ручки")</f>
        <v>див.Таблицю Ручки</v>
      </c>
      <c r="F65" s="24"/>
      <c r="G65" s="24"/>
      <c r="U65" s="286"/>
      <c r="V65" s="286"/>
      <c r="W65" s="286"/>
      <c r="X65" s="286"/>
      <c r="Y65" s="286"/>
      <c r="Z65" s="286"/>
      <c r="AA65" s="286"/>
      <c r="AB65" s="286"/>
    </row>
    <row r="66" spans="2:28" ht="14.25" customHeight="1" x14ac:dyDescent="0.25">
      <c r="C66" s="24"/>
      <c r="D66" s="24"/>
      <c r="E66" s="24"/>
      <c r="F66" s="24"/>
      <c r="G66" s="24"/>
      <c r="H66" s="5"/>
      <c r="P66" s="333" t="str">
        <f>IF($C$1="ENG",CONCATENATE("down to: ",B83),CONCATENATE("вниз до: ",B83))</f>
        <v>вниз до: Полотна збірні:ECO-FLORENCIA</v>
      </c>
      <c r="Q66" s="333"/>
      <c r="R66" s="333"/>
      <c r="S66" s="333"/>
    </row>
    <row r="67" spans="2:28" ht="14.25" customHeight="1" x14ac:dyDescent="0.25">
      <c r="C67" s="24"/>
      <c r="D67" s="24"/>
      <c r="E67" s="24"/>
      <c r="F67" s="24"/>
      <c r="G67" s="24"/>
      <c r="H67" s="5"/>
      <c r="P67" s="309"/>
      <c r="Q67" s="309"/>
      <c r="R67" s="309"/>
      <c r="S67" s="309"/>
    </row>
    <row r="68" spans="2:28" ht="14.25" customHeight="1" x14ac:dyDescent="0.25">
      <c r="C68" s="24"/>
      <c r="D68" s="24"/>
      <c r="E68" s="24"/>
      <c r="F68" s="24"/>
      <c r="G68" s="24"/>
      <c r="H68" s="5"/>
      <c r="P68" s="303"/>
      <c r="Q68" s="303"/>
      <c r="R68" s="303"/>
      <c r="S68" s="303"/>
    </row>
    <row r="69" spans="2:28" ht="14.25" customHeight="1" x14ac:dyDescent="0.25">
      <c r="C69" s="24"/>
      <c r="D69" s="24"/>
      <c r="E69" s="24"/>
      <c r="F69" s="24"/>
      <c r="G69" s="24"/>
      <c r="H69" s="5"/>
      <c r="P69" s="303"/>
      <c r="Q69" s="303"/>
      <c r="R69" s="303"/>
      <c r="S69" s="303"/>
    </row>
    <row r="70" spans="2:28" ht="14.25" customHeight="1" x14ac:dyDescent="0.25">
      <c r="C70" s="24"/>
      <c r="D70" s="24"/>
      <c r="E70" s="24"/>
      <c r="F70" s="24"/>
      <c r="G70" s="24"/>
      <c r="H70" s="5"/>
      <c r="P70" s="303"/>
      <c r="Q70" s="303"/>
      <c r="R70" s="303"/>
      <c r="S70" s="303"/>
    </row>
    <row r="71" spans="2:28" ht="14.25" customHeight="1" x14ac:dyDescent="0.25">
      <c r="C71" s="24"/>
      <c r="D71" s="24"/>
      <c r="E71" s="24"/>
      <c r="F71" s="24"/>
      <c r="G71" s="24"/>
      <c r="H71" s="5"/>
      <c r="P71" s="303"/>
      <c r="Q71" s="303"/>
      <c r="R71" s="303"/>
      <c r="S71" s="303"/>
    </row>
    <row r="72" spans="2:28" ht="14.25" customHeight="1" x14ac:dyDescent="0.25">
      <c r="C72" s="24"/>
      <c r="D72" s="24"/>
      <c r="E72" s="24"/>
      <c r="F72" s="24"/>
      <c r="G72" s="24"/>
      <c r="H72" s="5"/>
      <c r="P72" s="303"/>
      <c r="Q72" s="303"/>
      <c r="R72" s="303"/>
      <c r="S72" s="303"/>
    </row>
    <row r="73" spans="2:28" ht="14.25" customHeight="1" x14ac:dyDescent="0.25">
      <c r="C73" s="24"/>
      <c r="D73" s="24"/>
      <c r="E73" s="24"/>
      <c r="F73" s="24"/>
      <c r="G73" s="24"/>
      <c r="H73" s="5"/>
      <c r="P73" s="303"/>
      <c r="Q73" s="303"/>
      <c r="R73" s="303"/>
      <c r="S73" s="303"/>
    </row>
    <row r="74" spans="2:28" ht="14.25" customHeight="1" x14ac:dyDescent="0.25">
      <c r="C74" s="24"/>
      <c r="D74" s="24"/>
      <c r="E74" s="24"/>
      <c r="F74" s="24"/>
      <c r="G74" s="24"/>
      <c r="H74" s="5"/>
      <c r="P74" s="303"/>
      <c r="Q74" s="303"/>
      <c r="R74" s="303"/>
      <c r="S74" s="303"/>
    </row>
    <row r="75" spans="2:28" ht="14.25" customHeight="1" x14ac:dyDescent="0.25">
      <c r="C75" s="24"/>
      <c r="D75" s="24"/>
      <c r="E75" s="24"/>
      <c r="F75" s="24"/>
      <c r="G75" s="24"/>
      <c r="H75" s="5"/>
      <c r="P75" s="303"/>
      <c r="Q75" s="303"/>
      <c r="R75" s="303"/>
      <c r="S75" s="303"/>
    </row>
    <row r="76" spans="2:28" ht="14.25" customHeight="1" x14ac:dyDescent="0.25">
      <c r="C76" s="24"/>
      <c r="D76" s="24"/>
      <c r="E76" s="24"/>
      <c r="F76" s="24"/>
      <c r="G76" s="24"/>
      <c r="H76" s="5"/>
      <c r="P76" s="303"/>
      <c r="Q76" s="303"/>
      <c r="R76" s="303"/>
      <c r="S76" s="303"/>
    </row>
    <row r="77" spans="2:28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2:28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2:28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2:28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28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28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28" s="8" customFormat="1" x14ac:dyDescent="0.25">
      <c r="B83" s="321" t="str">
        <f>TITLE!C11</f>
        <v>Полотна збірні:ECO-FLORENCIA</v>
      </c>
      <c r="C83" s="321"/>
      <c r="D83" s="93"/>
      <c r="E83" s="93"/>
      <c r="F83" s="93"/>
      <c r="G83" s="93"/>
      <c r="H83" s="322"/>
      <c r="I83" s="322"/>
      <c r="J83" s="94"/>
      <c r="K83" s="94"/>
      <c r="L83" s="94"/>
      <c r="M83" s="94"/>
      <c r="N83" s="94"/>
      <c r="O83" s="94"/>
      <c r="P83" s="353"/>
      <c r="Q83" s="353"/>
      <c r="R83" s="353"/>
      <c r="S83" s="353"/>
    </row>
    <row r="84" spans="1:28" s="8" customFormat="1" ht="5.0999999999999996" customHeight="1" x14ac:dyDescent="0.25">
      <c r="B84" s="92"/>
      <c r="C84" s="92"/>
      <c r="D84" s="9"/>
      <c r="E84" s="9"/>
      <c r="F84" s="10"/>
      <c r="G84" s="10"/>
      <c r="H84" s="349"/>
      <c r="I84" s="349"/>
      <c r="P84" s="88"/>
      <c r="Q84" s="88"/>
      <c r="R84" s="88"/>
      <c r="S84" s="88"/>
    </row>
    <row r="85" spans="1:28" ht="12.75" customHeight="1" x14ac:dyDescent="0.25">
      <c r="A85" s="8"/>
      <c r="B85" s="324" t="str">
        <f>IF($C$1="ENG","model","модель")</f>
        <v>модель</v>
      </c>
      <c r="C85" s="95" t="str">
        <f>IF($C$1="ENG","cover:","покриття:")</f>
        <v>покриття:</v>
      </c>
      <c r="D85" s="327" t="str">
        <f>IF($C$1="ENG","ECO-CELL","ECO-CELL")</f>
        <v>ECO-CELL</v>
      </c>
      <c r="E85" s="328"/>
      <c r="F85" s="327" t="str">
        <f>IF($C$1="ENG","ECO-RESIST","ECO-RESIST")</f>
        <v>ECO-RESIST</v>
      </c>
      <c r="G85" s="328"/>
      <c r="H85" s="35"/>
      <c r="I85" s="35"/>
      <c r="J85" s="35"/>
      <c r="K85" s="35"/>
      <c r="L85" s="11"/>
      <c r="M85" s="11"/>
    </row>
    <row r="86" spans="1:28" ht="12.75" customHeight="1" x14ac:dyDescent="0.25">
      <c r="A86" s="8"/>
      <c r="B86" s="325"/>
      <c r="C86" s="96" t="str">
        <f>IF($C$1="ENG","filling:","заповнення:")</f>
        <v>заповнення:</v>
      </c>
      <c r="D86" s="329" t="str">
        <f>IF($C$1="ENG","MDF","MDF")</f>
        <v>MDF</v>
      </c>
      <c r="E86" s="330"/>
      <c r="F86" s="329" t="str">
        <f>IF($C$1="ENG","MDF","MDF")</f>
        <v>MDF</v>
      </c>
      <c r="G86" s="330"/>
      <c r="H86" s="36"/>
      <c r="I86" s="36"/>
      <c r="J86" s="36"/>
      <c r="K86" s="36"/>
      <c r="L86" s="11"/>
      <c r="M86" s="11"/>
    </row>
    <row r="87" spans="1:28" ht="12.75" customHeight="1" x14ac:dyDescent="0.25">
      <c r="A87" s="8"/>
      <c r="B87" s="326"/>
      <c r="C87" s="97" t="str">
        <f>IF($C$1="ENG","glazing:","скління:")</f>
        <v>скління:</v>
      </c>
      <c r="D87" s="331" t="str">
        <f>IF($C$1="ENG","Satin","Сатин")</f>
        <v>Сатин</v>
      </c>
      <c r="E87" s="332"/>
      <c r="F87" s="331" t="str">
        <f>IF($C$1="ENG","Satin","Сатин")</f>
        <v>Сатин</v>
      </c>
      <c r="G87" s="332"/>
      <c r="H87" s="36"/>
      <c r="I87" s="36"/>
      <c r="J87" s="36"/>
      <c r="K87" s="36"/>
      <c r="L87" s="11"/>
      <c r="M87" s="11"/>
    </row>
    <row r="88" spans="1:28" ht="35.1" customHeight="1" x14ac:dyDescent="0.25">
      <c r="A88" s="8"/>
      <c r="B88" s="13" t="s">
        <v>77</v>
      </c>
      <c r="C88" s="14"/>
      <c r="D88" s="15">
        <f t="shared" ref="D88:D89" si="12">IF(U88="","",(1-$S$2)*(U88/1.2))</f>
        <v>4425</v>
      </c>
      <c r="E88" s="54">
        <f t="shared" ref="E88:E89" si="13">IF($S$5=0.2,D88*1.2,D88)/$S$4</f>
        <v>5310</v>
      </c>
      <c r="F88" s="15">
        <f>IF(V88="","",(1-$S$2)*(V88/1.2))</f>
        <v>5133.3333333333339</v>
      </c>
      <c r="G88" s="54">
        <f>IF($S$5=0.2,F88*1.2,F88)/$S$4</f>
        <v>6160.0000000000009</v>
      </c>
      <c r="H88" s="81"/>
      <c r="I88" s="49"/>
      <c r="J88" s="26"/>
      <c r="K88" s="49"/>
      <c r="L88" s="80"/>
      <c r="N88" s="80"/>
      <c r="O88" s="20"/>
      <c r="P88" s="80"/>
      <c r="R88" s="80"/>
      <c r="S88" s="20"/>
      <c r="U88" s="286">
        <v>5310</v>
      </c>
      <c r="V88" s="286">
        <v>6160</v>
      </c>
      <c r="W88" s="286"/>
      <c r="X88" s="286"/>
      <c r="Y88" s="286"/>
      <c r="Z88" s="286"/>
      <c r="AA88" s="286"/>
      <c r="AB88" s="286"/>
    </row>
    <row r="89" spans="1:28" ht="35.1" customHeight="1" x14ac:dyDescent="0.25">
      <c r="A89" s="8"/>
      <c r="B89" s="16" t="s">
        <v>78</v>
      </c>
      <c r="C89" s="17"/>
      <c r="D89" s="18">
        <f t="shared" si="12"/>
        <v>4425</v>
      </c>
      <c r="E89" s="56">
        <f t="shared" si="13"/>
        <v>5310</v>
      </c>
      <c r="F89" s="15">
        <f t="shared" ref="F89" si="14">IF(V89="","",(1-$S$2)*(V89/1.2))</f>
        <v>5133.3333333333339</v>
      </c>
      <c r="G89" s="56">
        <f t="shared" ref="G89" si="15">IF($S$5=0.2,F89*1.2,F89)/$S$4</f>
        <v>6160.0000000000009</v>
      </c>
      <c r="H89" s="81"/>
      <c r="I89" s="49"/>
      <c r="J89" s="26"/>
      <c r="K89" s="49"/>
      <c r="L89" s="80"/>
      <c r="N89" s="80"/>
      <c r="O89" s="20"/>
      <c r="P89" s="80"/>
      <c r="R89" s="80"/>
      <c r="S89" s="20"/>
      <c r="U89" s="286">
        <v>5310</v>
      </c>
      <c r="V89" s="286">
        <v>6160</v>
      </c>
      <c r="W89" s="286"/>
      <c r="X89" s="286"/>
      <c r="Y89" s="286"/>
      <c r="Z89" s="286"/>
      <c r="AA89" s="286"/>
      <c r="AB89" s="286"/>
    </row>
    <row r="90" spans="1:28" x14ac:dyDescent="0.25">
      <c r="C90" s="24"/>
      <c r="D90" s="24"/>
      <c r="E90" s="46"/>
      <c r="F90" s="24"/>
      <c r="G90" s="46"/>
      <c r="H90" s="10"/>
      <c r="I90" s="8"/>
      <c r="J90" s="8"/>
      <c r="K90" s="8"/>
    </row>
    <row r="91" spans="1:28" x14ac:dyDescent="0.25">
      <c r="B91" s="155" t="str">
        <f>IF($C$1="ENG","For additonal charge:","Послуги за додаткову плату:")</f>
        <v>Послуги за додаткову плату:</v>
      </c>
      <c r="C91" s="156"/>
      <c r="D91" s="156"/>
      <c r="E91" s="157"/>
      <c r="F91" s="24"/>
      <c r="G91" s="46"/>
      <c r="H91" s="10"/>
      <c r="I91" s="8"/>
      <c r="J91" s="8"/>
      <c r="K91" s="8"/>
    </row>
    <row r="92" spans="1:28" ht="5.0999999999999996" customHeight="1" x14ac:dyDescent="0.25">
      <c r="B92" s="25"/>
      <c r="C92" s="24"/>
      <c r="D92" s="24"/>
      <c r="E92" s="46"/>
      <c r="F92" s="24"/>
      <c r="G92" s="24"/>
      <c r="H92" s="10"/>
      <c r="I92" s="8"/>
      <c r="J92" s="8"/>
      <c r="K92" s="8"/>
    </row>
    <row r="93" spans="1:28" x14ac:dyDescent="0.25">
      <c r="B93" s="317" t="str">
        <f>IF($C$1="ENG","door leaf with width 100","полотно розміром 100")</f>
        <v>полотно розміром 100</v>
      </c>
      <c r="C93" s="318"/>
      <c r="D93" s="100">
        <f t="shared" ref="D93:D99" si="16">IF(U93="","",(1-$S$2)*(U93/1.2))</f>
        <v>708.33333333333337</v>
      </c>
      <c r="E93" s="73">
        <f>IF($S$5=0.2,D93*1.2,D93)/$S$4</f>
        <v>850</v>
      </c>
      <c r="F93" s="24"/>
      <c r="G93" s="24"/>
      <c r="H93" s="10"/>
      <c r="I93" s="8"/>
      <c r="J93" s="8"/>
      <c r="K93" s="8"/>
      <c r="U93" s="286">
        <v>850</v>
      </c>
      <c r="V93" s="286"/>
      <c r="W93" s="286"/>
      <c r="X93" s="286"/>
      <c r="Y93" s="286"/>
      <c r="Z93" s="286"/>
      <c r="AA93" s="286"/>
      <c r="AB93" s="286"/>
    </row>
    <row r="94" spans="1:28" x14ac:dyDescent="0.25">
      <c r="B94" s="319" t="str">
        <f>IF($C$1="ENG","Ventilation sleeves (1 row)","вентиляційні віддушини (1 ряд)")</f>
        <v>вентиляційні віддушини (1 ряд)</v>
      </c>
      <c r="C94" s="320"/>
      <c r="D94" s="101">
        <f t="shared" si="16"/>
        <v>241.66666666666669</v>
      </c>
      <c r="E94" s="74">
        <f>IF($S$5=0.2,D94*1.2,D94)/$S$4</f>
        <v>290</v>
      </c>
      <c r="F94" s="24"/>
      <c r="G94" s="24"/>
      <c r="I94" s="11"/>
      <c r="J94" s="11"/>
      <c r="K94" s="11"/>
      <c r="U94" s="286">
        <v>290</v>
      </c>
      <c r="V94" s="286"/>
      <c r="W94" s="286"/>
      <c r="X94" s="286"/>
      <c r="Y94" s="286"/>
      <c r="Z94" s="286"/>
      <c r="AA94" s="286"/>
      <c r="AB94" s="286"/>
    </row>
    <row r="95" spans="1:28" x14ac:dyDescent="0.25">
      <c r="B95" s="319" t="str">
        <f>IF($C$1="ENG","Ventilation undercut","вентиляційний підріз")</f>
        <v>вентиляційний підріз</v>
      </c>
      <c r="C95" s="320"/>
      <c r="D95" s="79">
        <f t="shared" si="16"/>
        <v>162.5</v>
      </c>
      <c r="E95" s="74">
        <f>IF($S$5=0.2,D95*1.2,D95)/$S$4</f>
        <v>195</v>
      </c>
      <c r="F95" s="24"/>
      <c r="G95" s="24"/>
      <c r="H95" s="5"/>
      <c r="U95" s="286">
        <v>195</v>
      </c>
      <c r="V95" s="286"/>
      <c r="W95" s="286"/>
      <c r="X95" s="286"/>
      <c r="Y95" s="286"/>
      <c r="Z95" s="286"/>
      <c r="AA95" s="286"/>
      <c r="AB95" s="286"/>
    </row>
    <row r="96" spans="1:28" x14ac:dyDescent="0.25">
      <c r="B96" s="319" t="str">
        <f>IF($C$1="ENG","lacobel glass is black","скло lacobel чорне")</f>
        <v>скло lacobel чорне</v>
      </c>
      <c r="C96" s="320"/>
      <c r="D96" s="79">
        <f t="shared" si="16"/>
        <v>433.33333333333337</v>
      </c>
      <c r="E96" s="74">
        <f t="shared" ref="E96" si="17">IF($S$5=0.2,D96*1.2,D96)/$S$4</f>
        <v>520</v>
      </c>
      <c r="F96" s="24"/>
      <c r="G96" s="33"/>
      <c r="H96" s="291"/>
      <c r="U96" s="286">
        <v>520</v>
      </c>
      <c r="V96" s="286"/>
      <c r="W96" s="286"/>
      <c r="X96" s="286"/>
      <c r="Y96" s="286"/>
      <c r="Z96" s="286"/>
      <c r="AA96" s="286"/>
      <c r="AB96" s="286"/>
    </row>
    <row r="97" spans="2:28" x14ac:dyDescent="0.25">
      <c r="B97" s="319" t="str">
        <f>IF($C$1="ENG","door handle-lock (for sliding doors)","ручка-замок (для дверей купе)")</f>
        <v>ручка-замок (для дверей купе)</v>
      </c>
      <c r="C97" s="320"/>
      <c r="D97" s="101">
        <f t="shared" si="16"/>
        <v>533.33333333333337</v>
      </c>
      <c r="E97" s="74">
        <f>IF($S$5=0.2,D97*1.2,D97)/$S$4</f>
        <v>640</v>
      </c>
      <c r="F97" s="24"/>
      <c r="G97" s="24"/>
      <c r="I97" s="11"/>
      <c r="J97" s="11"/>
      <c r="K97" s="19"/>
      <c r="U97" s="286">
        <v>640</v>
      </c>
      <c r="V97" s="286"/>
      <c r="W97" s="286"/>
      <c r="X97" s="286"/>
      <c r="Y97" s="286"/>
      <c r="Z97" s="286"/>
      <c r="AA97" s="286"/>
      <c r="AB97" s="286"/>
    </row>
    <row r="98" spans="2:28" x14ac:dyDescent="0.25">
      <c r="B98" s="319" t="str">
        <f>IF($C$1="ENG","door hinge caps (1 set)","накладка на завіси (1 к-т)")</f>
        <v>накладка на завіси (1 к-т)</v>
      </c>
      <c r="C98" s="320"/>
      <c r="D98" s="103">
        <f t="shared" si="16"/>
        <v>75</v>
      </c>
      <c r="E98" s="74">
        <f>IF($S$5=0.2,D98*1.2,D98)/$S$4</f>
        <v>90</v>
      </c>
      <c r="F98" s="24"/>
      <c r="G98" s="24"/>
      <c r="U98" s="286">
        <v>90</v>
      </c>
      <c r="V98" s="286"/>
      <c r="W98" s="286"/>
      <c r="X98" s="286"/>
      <c r="Y98" s="286"/>
      <c r="Z98" s="286"/>
      <c r="AA98" s="286"/>
      <c r="AB98" s="286"/>
    </row>
    <row r="99" spans="2:28" x14ac:dyDescent="0.25">
      <c r="B99" s="319" t="str">
        <f>IF($C$1="ENG","door handle","дверна ручка")</f>
        <v>дверна ручка</v>
      </c>
      <c r="C99" s="320"/>
      <c r="D99" s="102" t="str">
        <f t="shared" si="16"/>
        <v/>
      </c>
      <c r="E99" s="180" t="str">
        <f>IF($C$1="ENG","see Handles Price","див.Таблицю Ручки")</f>
        <v>див.Таблицю Ручки</v>
      </c>
      <c r="F99" s="24"/>
      <c r="G99" s="24"/>
      <c r="U99" s="286"/>
      <c r="V99" s="286"/>
      <c r="W99" s="286"/>
      <c r="X99" s="286"/>
      <c r="Y99" s="286"/>
      <c r="Z99" s="286"/>
      <c r="AA99" s="286"/>
      <c r="AB99" s="286"/>
    </row>
    <row r="100" spans="2:28" ht="14.25" customHeight="1" x14ac:dyDescent="0.25">
      <c r="C100" s="24"/>
      <c r="D100" s="24"/>
      <c r="E100" s="24"/>
      <c r="F100" s="24"/>
      <c r="G100" s="24"/>
      <c r="H100" s="5"/>
      <c r="P100" s="333" t="str">
        <f>IF($C$1="ENG",CONCATENATE("down to: ",B134),CONCATENATE("вниз до: ",B134))</f>
        <v>вниз до: Полотна збірні: ECO-NEAPOL</v>
      </c>
      <c r="Q100" s="333"/>
      <c r="R100" s="333"/>
      <c r="S100" s="333"/>
    </row>
    <row r="101" spans="2:28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2:28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2:28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2:28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2:28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2:28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2:28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2:28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2:28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2:28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2:28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2:28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2:19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2:19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2:19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2:19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2:19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2:19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2:19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2:19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2:19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2:19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2:19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2:19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2:19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2:19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2:19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2:19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28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28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28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28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28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28" s="8" customFormat="1" x14ac:dyDescent="0.25">
      <c r="B134" s="321" t="str">
        <f>TITLE!C12</f>
        <v>Полотна збірні: ECO-NEAPOL</v>
      </c>
      <c r="C134" s="321"/>
      <c r="D134" s="93"/>
      <c r="E134" s="93"/>
      <c r="F134" s="93"/>
      <c r="G134" s="93"/>
      <c r="H134" s="322"/>
      <c r="I134" s="322"/>
      <c r="J134" s="94"/>
      <c r="K134" s="94"/>
      <c r="L134" s="94"/>
      <c r="M134" s="94"/>
      <c r="N134" s="94"/>
      <c r="O134" s="94"/>
      <c r="P134" s="353"/>
      <c r="Q134" s="353"/>
      <c r="R134" s="353"/>
      <c r="S134" s="353"/>
    </row>
    <row r="135" spans="1:28" s="8" customFormat="1" ht="5.0999999999999996" customHeight="1" x14ac:dyDescent="0.25">
      <c r="B135" s="92"/>
      <c r="C135" s="92"/>
      <c r="D135" s="9"/>
      <c r="E135" s="9"/>
      <c r="F135" s="10"/>
      <c r="G135" s="10"/>
      <c r="H135" s="349"/>
      <c r="I135" s="349"/>
      <c r="P135" s="88"/>
      <c r="Q135" s="88"/>
      <c r="R135" s="88"/>
      <c r="S135" s="88"/>
    </row>
    <row r="136" spans="1:28" ht="12.75" customHeight="1" x14ac:dyDescent="0.25">
      <c r="A136" s="8"/>
      <c r="B136" s="324" t="str">
        <f>IF($C$1="ENG","model","модель")</f>
        <v>модель</v>
      </c>
      <c r="C136" s="95" t="str">
        <f>IF($C$1="ENG","cover:","покриття:")</f>
        <v>покриття:</v>
      </c>
      <c r="D136" s="327" t="str">
        <f>IF($C$1="ENG","ECO-CELL","ECO-CELL")</f>
        <v>ECO-CELL</v>
      </c>
      <c r="E136" s="328"/>
      <c r="F136" s="327" t="str">
        <f>IF($C$1="ENG","ECO-RESIST","ECO-RESIST")</f>
        <v>ECO-RESIST</v>
      </c>
      <c r="G136" s="328"/>
      <c r="H136" s="35"/>
      <c r="I136" s="35"/>
      <c r="J136" s="35"/>
      <c r="K136" s="35"/>
      <c r="L136" s="11"/>
      <c r="M136" s="11"/>
    </row>
    <row r="137" spans="1:28" ht="12.75" customHeight="1" x14ac:dyDescent="0.25">
      <c r="A137" s="8"/>
      <c r="B137" s="325"/>
      <c r="C137" s="96" t="str">
        <f>IF($C$1="ENG","filling:","заповнення:")</f>
        <v>заповнення:</v>
      </c>
      <c r="D137" s="329" t="str">
        <f>IF($C$1="ENG","MDF","MDF")</f>
        <v>MDF</v>
      </c>
      <c r="E137" s="330"/>
      <c r="F137" s="329" t="str">
        <f>IF($C$1="ENG","MDF","MDF")</f>
        <v>MDF</v>
      </c>
      <c r="G137" s="330"/>
      <c r="H137" s="36"/>
      <c r="I137" s="36"/>
      <c r="J137" s="36"/>
      <c r="K137" s="36"/>
      <c r="L137" s="11"/>
      <c r="M137" s="11"/>
    </row>
    <row r="138" spans="1:28" ht="12.75" customHeight="1" x14ac:dyDescent="0.25">
      <c r="A138" s="8"/>
      <c r="B138" s="326"/>
      <c r="C138" s="97" t="str">
        <f>IF($C$1="ENG","glazing:","скління:")</f>
        <v>скління:</v>
      </c>
      <c r="D138" s="331" t="str">
        <f>IF($C$1="ENG","Satin","Сатин")</f>
        <v>Сатин</v>
      </c>
      <c r="E138" s="332"/>
      <c r="F138" s="331" t="str">
        <f>IF($C$1="ENG","Satin","Сатин")</f>
        <v>Сатин</v>
      </c>
      <c r="G138" s="332"/>
      <c r="H138" s="36"/>
      <c r="I138" s="36"/>
      <c r="J138" s="36"/>
      <c r="K138" s="36"/>
      <c r="L138" s="11"/>
      <c r="M138" s="11"/>
    </row>
    <row r="139" spans="1:28" ht="35.1" customHeight="1" x14ac:dyDescent="0.25">
      <c r="A139" s="8"/>
      <c r="B139" s="13" t="s">
        <v>79</v>
      </c>
      <c r="C139" s="14"/>
      <c r="D139" s="15">
        <f t="shared" ref="D139:D140" si="18">IF(U139="","",(1-$S$2)*(U139/1.2))</f>
        <v>4425</v>
      </c>
      <c r="E139" s="54">
        <f t="shared" ref="E139:E140" si="19">IF($S$5=0.2,D139*1.2,D139)/$S$4</f>
        <v>5310</v>
      </c>
      <c r="F139" s="15">
        <f>IF(V139="","",(1-$S$2)*(V139/1.2))</f>
        <v>5133.3333333333339</v>
      </c>
      <c r="G139" s="54">
        <f>IF($S$5=0.2,F139*1.2,F139)/$S$4</f>
        <v>6160.0000000000009</v>
      </c>
      <c r="H139" s="81"/>
      <c r="I139" s="49"/>
      <c r="J139" s="26"/>
      <c r="K139" s="49"/>
      <c r="L139" s="80"/>
      <c r="N139" s="80"/>
      <c r="O139" s="20"/>
      <c r="P139" s="80"/>
      <c r="R139" s="80"/>
      <c r="S139" s="20"/>
      <c r="U139" s="286">
        <v>5310</v>
      </c>
      <c r="V139" s="286">
        <v>6160</v>
      </c>
      <c r="W139" s="286"/>
      <c r="X139" s="286"/>
      <c r="Y139" s="286"/>
      <c r="Z139" s="286"/>
      <c r="AA139" s="286"/>
      <c r="AB139" s="286"/>
    </row>
    <row r="140" spans="1:28" ht="35.1" customHeight="1" x14ac:dyDescent="0.25">
      <c r="A140" s="8"/>
      <c r="B140" s="16" t="s">
        <v>80</v>
      </c>
      <c r="C140" s="17"/>
      <c r="D140" s="18">
        <f t="shared" si="18"/>
        <v>4425</v>
      </c>
      <c r="E140" s="56">
        <f t="shared" si="19"/>
        <v>5310</v>
      </c>
      <c r="F140" s="15">
        <f t="shared" ref="F140" si="20">IF(V140="","",(1-$S$2)*(V140/1.2))</f>
        <v>5133.3333333333339</v>
      </c>
      <c r="G140" s="56">
        <f t="shared" ref="G140" si="21">IF($S$5=0.2,F140*1.2,F140)/$S$4</f>
        <v>6160.0000000000009</v>
      </c>
      <c r="H140" s="81"/>
      <c r="I140" s="49"/>
      <c r="J140" s="26"/>
      <c r="K140" s="49"/>
      <c r="L140" s="80"/>
      <c r="N140" s="80"/>
      <c r="O140" s="20"/>
      <c r="P140" s="80"/>
      <c r="R140" s="80"/>
      <c r="S140" s="20"/>
      <c r="U140" s="286">
        <v>5310</v>
      </c>
      <c r="V140" s="286">
        <v>6160</v>
      </c>
      <c r="W140" s="286"/>
      <c r="X140" s="286"/>
      <c r="Y140" s="286"/>
      <c r="Z140" s="286"/>
      <c r="AA140" s="286"/>
      <c r="AB140" s="286"/>
    </row>
    <row r="141" spans="1:28" x14ac:dyDescent="0.25">
      <c r="C141" s="24"/>
      <c r="D141" s="24"/>
      <c r="E141" s="46"/>
      <c r="F141" s="24"/>
      <c r="G141" s="46"/>
      <c r="H141" s="10"/>
      <c r="I141" s="8"/>
      <c r="J141" s="8"/>
      <c r="K141" s="8"/>
    </row>
    <row r="142" spans="1:28" x14ac:dyDescent="0.25">
      <c r="B142" s="155" t="str">
        <f>IF($C$1="ENG","For additonal charge:","Послуги за додаткову плату:")</f>
        <v>Послуги за додаткову плату:</v>
      </c>
      <c r="C142" s="156"/>
      <c r="D142" s="156"/>
      <c r="E142" s="157"/>
      <c r="F142" s="24"/>
      <c r="G142" s="46"/>
      <c r="H142" s="10"/>
      <c r="I142" s="8"/>
      <c r="J142" s="8"/>
      <c r="K142" s="8"/>
    </row>
    <row r="143" spans="1:28" ht="5.0999999999999996" customHeight="1" x14ac:dyDescent="0.25">
      <c r="B143" s="25"/>
      <c r="C143" s="24"/>
      <c r="D143" s="24"/>
      <c r="E143" s="46"/>
      <c r="F143" s="24"/>
      <c r="G143" s="24"/>
      <c r="H143" s="10"/>
      <c r="I143" s="8"/>
      <c r="J143" s="8"/>
      <c r="K143" s="8"/>
    </row>
    <row r="144" spans="1:28" x14ac:dyDescent="0.25">
      <c r="B144" s="317" t="str">
        <f>IF($C$1="ENG","door leaf with width 100","полотно розміром 100")</f>
        <v>полотно розміром 100</v>
      </c>
      <c r="C144" s="318"/>
      <c r="D144" s="100">
        <f t="shared" ref="D144:D150" si="22">IF(U144="","",(1-$S$2)*(U144/1.2))</f>
        <v>708.33333333333337</v>
      </c>
      <c r="E144" s="73">
        <f>IF($S$5=0.2,D144*1.2,D144)/$S$4</f>
        <v>850</v>
      </c>
      <c r="F144" s="24"/>
      <c r="G144" s="24"/>
      <c r="H144" s="10"/>
      <c r="I144" s="8"/>
      <c r="J144" s="8"/>
      <c r="K144" s="8"/>
      <c r="U144" s="286">
        <v>850</v>
      </c>
      <c r="V144" s="286"/>
      <c r="W144" s="286"/>
      <c r="X144" s="286"/>
      <c r="Y144" s="286"/>
      <c r="Z144" s="286"/>
      <c r="AA144" s="286"/>
      <c r="AB144" s="286"/>
    </row>
    <row r="145" spans="2:28" x14ac:dyDescent="0.25">
      <c r="B145" s="319" t="str">
        <f>IF($C$1="ENG","Ventilation sleeves (1 row)","вентиляційні віддушини (1 ряд)")</f>
        <v>вентиляційні віддушини (1 ряд)</v>
      </c>
      <c r="C145" s="320"/>
      <c r="D145" s="101">
        <f t="shared" si="22"/>
        <v>241.66666666666669</v>
      </c>
      <c r="E145" s="74">
        <f>IF($S$5=0.2,D145*1.2,D145)/$S$4</f>
        <v>290</v>
      </c>
      <c r="F145" s="24"/>
      <c r="G145" s="24"/>
      <c r="I145" s="11"/>
      <c r="J145" s="11"/>
      <c r="K145" s="11"/>
      <c r="U145" s="286">
        <v>290</v>
      </c>
      <c r="V145" s="286"/>
      <c r="W145" s="286"/>
      <c r="X145" s="286"/>
      <c r="Y145" s="286"/>
      <c r="Z145" s="286"/>
      <c r="AA145" s="286"/>
      <c r="AB145" s="286"/>
    </row>
    <row r="146" spans="2:28" x14ac:dyDescent="0.25">
      <c r="B146" s="319" t="str">
        <f>IF($C$1="ENG","Ventilation undercut","вентиляційний підріз")</f>
        <v>вентиляційний підріз</v>
      </c>
      <c r="C146" s="320"/>
      <c r="D146" s="79">
        <f t="shared" si="22"/>
        <v>162.5</v>
      </c>
      <c r="E146" s="74">
        <f>IF($S$5=0.2,D146*1.2,D146)/$S$4</f>
        <v>195</v>
      </c>
      <c r="F146" s="24"/>
      <c r="G146" s="24"/>
      <c r="H146" s="5"/>
      <c r="U146" s="286">
        <v>195</v>
      </c>
      <c r="V146" s="286"/>
      <c r="W146" s="286"/>
      <c r="X146" s="286"/>
      <c r="Y146" s="286"/>
      <c r="Z146" s="286"/>
      <c r="AA146" s="286"/>
      <c r="AB146" s="286"/>
    </row>
    <row r="147" spans="2:28" x14ac:dyDescent="0.25">
      <c r="B147" s="319" t="str">
        <f>IF($C$1="ENG","lacobel glass is black","скло lacobel чорне")</f>
        <v>скло lacobel чорне</v>
      </c>
      <c r="C147" s="320"/>
      <c r="D147" s="79">
        <f t="shared" si="22"/>
        <v>433.33333333333337</v>
      </c>
      <c r="E147" s="74">
        <f t="shared" ref="E147" si="23">IF($S$5=0.2,D147*1.2,D147)/$S$4</f>
        <v>520</v>
      </c>
      <c r="F147" s="24"/>
      <c r="G147" s="33"/>
      <c r="H147" s="291"/>
      <c r="U147" s="286">
        <v>520</v>
      </c>
      <c r="V147" s="286"/>
      <c r="W147" s="286"/>
      <c r="X147" s="286"/>
      <c r="Y147" s="286"/>
      <c r="Z147" s="286"/>
      <c r="AA147" s="286"/>
      <c r="AB147" s="286"/>
    </row>
    <row r="148" spans="2:28" x14ac:dyDescent="0.25">
      <c r="B148" s="319" t="str">
        <f>IF($C$1="ENG","door handle-lock (for sliding doors)","ручка-замок (для дверей купе)")</f>
        <v>ручка-замок (для дверей купе)</v>
      </c>
      <c r="C148" s="320"/>
      <c r="D148" s="101">
        <f t="shared" si="22"/>
        <v>533.33333333333337</v>
      </c>
      <c r="E148" s="74">
        <f>IF($S$5=0.2,D148*1.2,D148)/$S$4</f>
        <v>640</v>
      </c>
      <c r="F148" s="24"/>
      <c r="G148" s="24"/>
      <c r="I148" s="11"/>
      <c r="J148" s="11"/>
      <c r="K148" s="19"/>
      <c r="U148" s="286">
        <v>640</v>
      </c>
      <c r="V148" s="286"/>
      <c r="W148" s="286"/>
      <c r="X148" s="286"/>
      <c r="Y148" s="286"/>
      <c r="Z148" s="286"/>
      <c r="AA148" s="286"/>
      <c r="AB148" s="286"/>
    </row>
    <row r="149" spans="2:28" x14ac:dyDescent="0.25">
      <c r="B149" s="319" t="str">
        <f>IF($C$1="ENG","door hinge caps (1 set)","накладка на завіси (1 к-т)")</f>
        <v>накладка на завіси (1 к-т)</v>
      </c>
      <c r="C149" s="320"/>
      <c r="D149" s="103">
        <f t="shared" si="22"/>
        <v>75</v>
      </c>
      <c r="E149" s="74">
        <f>IF($S$5=0.2,D149*1.2,D149)/$S$4</f>
        <v>90</v>
      </c>
      <c r="F149" s="24"/>
      <c r="G149" s="24"/>
      <c r="U149" s="286">
        <v>90</v>
      </c>
      <c r="V149" s="286"/>
      <c r="W149" s="286"/>
      <c r="X149" s="286"/>
      <c r="Y149" s="286"/>
      <c r="Z149" s="286"/>
      <c r="AA149" s="286"/>
      <c r="AB149" s="286"/>
    </row>
    <row r="150" spans="2:28" x14ac:dyDescent="0.25">
      <c r="B150" s="319" t="str">
        <f>IF($C$1="ENG","door handle","дверна ручка")</f>
        <v>дверна ручка</v>
      </c>
      <c r="C150" s="320"/>
      <c r="D150" s="102" t="str">
        <f t="shared" si="22"/>
        <v/>
      </c>
      <c r="E150" s="180" t="str">
        <f>IF($C$1="ENG","see Handles Price","див.Таблицю Ручки")</f>
        <v>див.Таблицю Ручки</v>
      </c>
      <c r="F150" s="24"/>
      <c r="G150" s="24"/>
      <c r="U150" s="286"/>
      <c r="V150" s="286"/>
      <c r="W150" s="286"/>
      <c r="X150" s="286"/>
      <c r="Y150" s="286"/>
      <c r="Z150" s="286"/>
      <c r="AA150" s="286"/>
      <c r="AB150" s="286"/>
    </row>
    <row r="151" spans="2:28" ht="14.25" customHeight="1" x14ac:dyDescent="0.25">
      <c r="C151" s="24"/>
      <c r="D151" s="24"/>
      <c r="E151" s="24"/>
      <c r="F151" s="24"/>
      <c r="G151" s="24"/>
      <c r="H151" s="5"/>
      <c r="P151" s="333" t="str">
        <f>IF($C$1="ENG",CONCATENATE("down to: ",B182),CONCATENATE("вниз до: ",B182))</f>
        <v>вниз до: Полотна збірні: ECO-TANGO</v>
      </c>
      <c r="Q151" s="333"/>
      <c r="R151" s="333"/>
      <c r="S151" s="333"/>
    </row>
    <row r="152" spans="2:28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2:28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2:28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2:28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2:28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2:28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2:28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2:28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2:28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2:19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2:19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2:19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2:19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2:19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2:19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2:19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2:19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2:19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2:19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2:19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2:19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2:19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2:19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2:19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2:19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28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28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28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28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28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28" s="8" customFormat="1" x14ac:dyDescent="0.25">
      <c r="B182" s="321" t="str">
        <f>TITLE!$C$13</f>
        <v>Полотна збірні: ECO-TANGO</v>
      </c>
      <c r="C182" s="321"/>
      <c r="D182" s="93"/>
      <c r="E182" s="93"/>
      <c r="F182" s="93"/>
      <c r="G182" s="93"/>
      <c r="H182" s="322"/>
      <c r="I182" s="322"/>
      <c r="J182" s="94"/>
      <c r="K182" s="94"/>
      <c r="L182" s="94"/>
      <c r="M182" s="94"/>
      <c r="N182" s="94"/>
      <c r="O182" s="94"/>
      <c r="P182" s="353"/>
      <c r="Q182" s="353"/>
      <c r="R182" s="353"/>
      <c r="S182" s="353"/>
    </row>
    <row r="183" spans="1:28" s="8" customFormat="1" ht="5.0999999999999996" customHeight="1" x14ac:dyDescent="0.25">
      <c r="B183" s="92"/>
      <c r="C183" s="92"/>
      <c r="D183" s="9"/>
      <c r="E183" s="9"/>
      <c r="F183" s="10"/>
      <c r="G183" s="10"/>
      <c r="H183" s="349"/>
      <c r="I183" s="349"/>
      <c r="P183" s="88"/>
      <c r="Q183" s="88"/>
      <c r="R183" s="88"/>
      <c r="S183" s="88"/>
    </row>
    <row r="184" spans="1:28" ht="12.75" customHeight="1" x14ac:dyDescent="0.25">
      <c r="A184" s="8"/>
      <c r="B184" s="324" t="str">
        <f>IF($C$1="ENG","model","модель")</f>
        <v>модель</v>
      </c>
      <c r="C184" s="95" t="str">
        <f>IF($C$1="ENG","cover:","покриття:")</f>
        <v>покриття:</v>
      </c>
      <c r="D184" s="327" t="str">
        <f>IF($C$1="ENG","ECO-CELL","ECO-CELL")</f>
        <v>ECO-CELL</v>
      </c>
      <c r="E184" s="328"/>
      <c r="F184" s="327" t="str">
        <f>IF($C$1="ENG","ECO-RESIST","ECO-RESIST")</f>
        <v>ECO-RESIST</v>
      </c>
      <c r="G184" s="328"/>
      <c r="H184" s="35"/>
      <c r="I184" s="35"/>
      <c r="J184" s="35"/>
      <c r="K184" s="35"/>
      <c r="L184" s="11"/>
      <c r="M184" s="11"/>
    </row>
    <row r="185" spans="1:28" ht="12.75" customHeight="1" x14ac:dyDescent="0.25">
      <c r="A185" s="8"/>
      <c r="B185" s="325"/>
      <c r="C185" s="96" t="str">
        <f>IF($C$1="ENG","filling:","заповнення:")</f>
        <v>заповнення:</v>
      </c>
      <c r="D185" s="329" t="str">
        <f>IF($C$1="ENG","MDF","MDF")</f>
        <v>MDF</v>
      </c>
      <c r="E185" s="330"/>
      <c r="F185" s="329" t="str">
        <f>IF($C$1="ENG","MDF","MDF")</f>
        <v>MDF</v>
      </c>
      <c r="G185" s="330"/>
      <c r="H185" s="36"/>
      <c r="I185" s="36"/>
      <c r="J185" s="36"/>
      <c r="K185" s="36"/>
      <c r="L185" s="11"/>
      <c r="M185" s="11"/>
    </row>
    <row r="186" spans="1:28" ht="12.75" customHeight="1" x14ac:dyDescent="0.25">
      <c r="A186" s="8"/>
      <c r="B186" s="326"/>
      <c r="C186" s="97" t="str">
        <f>IF($C$1="ENG","glazing:","скління:")</f>
        <v>скління:</v>
      </c>
      <c r="D186" s="331" t="str">
        <f>IF($C$1="ENG","Satin","Сатин")</f>
        <v>Сатин</v>
      </c>
      <c r="E186" s="332"/>
      <c r="F186" s="331" t="str">
        <f>IF($C$1="ENG","Satin","Сатин")</f>
        <v>Сатин</v>
      </c>
      <c r="G186" s="332"/>
      <c r="H186" s="36"/>
      <c r="I186" s="36"/>
      <c r="J186" s="36"/>
      <c r="K186" s="36"/>
      <c r="L186" s="11"/>
      <c r="M186" s="11"/>
    </row>
    <row r="187" spans="1:28" ht="35.1" customHeight="1" x14ac:dyDescent="0.25">
      <c r="A187" s="8"/>
      <c r="B187" s="13" t="s">
        <v>1</v>
      </c>
      <c r="C187" s="14"/>
      <c r="D187" s="15">
        <f t="shared" ref="D187:D193" si="24">IF(U187="","",(1-$S$2)*(U187/1.2))</f>
        <v>4325</v>
      </c>
      <c r="E187" s="54">
        <f t="shared" ref="E187:E193" si="25">IF($S$5=0.2,D187*1.2,D187)/$S$4</f>
        <v>5190</v>
      </c>
      <c r="F187" s="15">
        <f>IF(V187="","",(1-$S$2)*(V187/1.2))</f>
        <v>5025</v>
      </c>
      <c r="G187" s="54">
        <f>IF($S$5=0.2,F187*1.2,F187)/$S$4</f>
        <v>6030</v>
      </c>
      <c r="H187" s="81"/>
      <c r="I187" s="49"/>
      <c r="J187" s="26"/>
      <c r="K187" s="49"/>
      <c r="L187" s="80"/>
      <c r="N187" s="80"/>
      <c r="O187" s="20"/>
      <c r="P187" s="80"/>
      <c r="R187" s="80"/>
      <c r="S187" s="20"/>
      <c r="U187" s="286">
        <v>5190</v>
      </c>
      <c r="V187" s="286">
        <v>6030</v>
      </c>
      <c r="W187" s="286"/>
      <c r="X187" s="286"/>
      <c r="Y187" s="286"/>
      <c r="Z187" s="286"/>
      <c r="AA187" s="286"/>
      <c r="AB187" s="286"/>
    </row>
    <row r="188" spans="1:28" ht="35.1" customHeight="1" x14ac:dyDescent="0.25">
      <c r="A188" s="8"/>
      <c r="B188" s="16" t="s">
        <v>2</v>
      </c>
      <c r="C188" s="17"/>
      <c r="D188" s="18">
        <f t="shared" si="24"/>
        <v>4325</v>
      </c>
      <c r="E188" s="56">
        <f t="shared" si="25"/>
        <v>5190</v>
      </c>
      <c r="F188" s="15">
        <f t="shared" ref="F188:F193" si="26">IF(V188="","",(1-$S$2)*(V188/1.2))</f>
        <v>5025</v>
      </c>
      <c r="G188" s="56">
        <f t="shared" ref="G188:G193" si="27">IF($S$5=0.2,F188*1.2,F188)/$S$4</f>
        <v>6030</v>
      </c>
      <c r="H188" s="81"/>
      <c r="I188" s="49"/>
      <c r="J188" s="26"/>
      <c r="K188" s="49"/>
      <c r="L188" s="80"/>
      <c r="N188" s="80"/>
      <c r="O188" s="20"/>
      <c r="P188" s="80"/>
      <c r="R188" s="80"/>
      <c r="S188" s="20"/>
      <c r="U188" s="286">
        <v>5190</v>
      </c>
      <c r="V188" s="286">
        <v>6030</v>
      </c>
      <c r="W188" s="286"/>
      <c r="X188" s="286"/>
      <c r="Y188" s="286"/>
      <c r="Z188" s="286"/>
      <c r="AA188" s="286"/>
      <c r="AB188" s="286"/>
    </row>
    <row r="189" spans="1:28" ht="35.1" customHeight="1" x14ac:dyDescent="0.25">
      <c r="A189" s="8"/>
      <c r="B189" s="16" t="s">
        <v>3</v>
      </c>
      <c r="C189" s="17"/>
      <c r="D189" s="18">
        <f t="shared" si="24"/>
        <v>4325</v>
      </c>
      <c r="E189" s="56">
        <f t="shared" si="25"/>
        <v>5190</v>
      </c>
      <c r="F189" s="15">
        <f t="shared" si="26"/>
        <v>5025</v>
      </c>
      <c r="G189" s="56">
        <f t="shared" si="27"/>
        <v>6030</v>
      </c>
      <c r="H189" s="81"/>
      <c r="I189" s="49"/>
      <c r="J189" s="26"/>
      <c r="K189" s="49"/>
      <c r="L189" s="80"/>
      <c r="N189" s="80"/>
      <c r="O189" s="20"/>
      <c r="P189" s="80"/>
      <c r="R189" s="80"/>
      <c r="S189" s="20"/>
      <c r="U189" s="286">
        <v>5190</v>
      </c>
      <c r="V189" s="286">
        <v>6030</v>
      </c>
      <c r="W189" s="286"/>
      <c r="X189" s="286"/>
      <c r="Y189" s="286"/>
      <c r="Z189" s="286"/>
      <c r="AA189" s="286"/>
      <c r="AB189" s="286"/>
    </row>
    <row r="190" spans="1:28" ht="35.1" customHeight="1" x14ac:dyDescent="0.25">
      <c r="A190" s="8"/>
      <c r="B190" s="16" t="s">
        <v>4</v>
      </c>
      <c r="C190" s="17"/>
      <c r="D190" s="18">
        <f t="shared" si="24"/>
        <v>4325</v>
      </c>
      <c r="E190" s="56">
        <f t="shared" si="25"/>
        <v>5190</v>
      </c>
      <c r="F190" s="15">
        <f t="shared" si="26"/>
        <v>5025</v>
      </c>
      <c r="G190" s="56">
        <f t="shared" si="27"/>
        <v>6030</v>
      </c>
      <c r="H190" s="81"/>
      <c r="I190" s="49"/>
      <c r="J190" s="26"/>
      <c r="K190" s="49"/>
      <c r="L190" s="80"/>
      <c r="N190" s="80"/>
      <c r="O190" s="20"/>
      <c r="P190" s="80"/>
      <c r="R190" s="80"/>
      <c r="S190" s="20"/>
      <c r="U190" s="286">
        <v>5190</v>
      </c>
      <c r="V190" s="286">
        <v>6030</v>
      </c>
      <c r="W190" s="286"/>
      <c r="X190" s="286"/>
      <c r="Y190" s="286"/>
      <c r="Z190" s="286"/>
      <c r="AA190" s="286"/>
      <c r="AB190" s="286"/>
    </row>
    <row r="191" spans="1:28" ht="35.1" customHeight="1" x14ac:dyDescent="0.25">
      <c r="A191" s="8"/>
      <c r="B191" s="16" t="s">
        <v>5</v>
      </c>
      <c r="C191" s="17"/>
      <c r="D191" s="18">
        <f t="shared" si="24"/>
        <v>4325</v>
      </c>
      <c r="E191" s="56">
        <f t="shared" si="25"/>
        <v>5190</v>
      </c>
      <c r="F191" s="15">
        <f t="shared" si="26"/>
        <v>5025</v>
      </c>
      <c r="G191" s="56">
        <f t="shared" si="27"/>
        <v>6030</v>
      </c>
      <c r="H191" s="81"/>
      <c r="I191" s="49"/>
      <c r="J191" s="26"/>
      <c r="K191" s="49"/>
      <c r="L191" s="80"/>
      <c r="N191" s="80"/>
      <c r="O191" s="20"/>
      <c r="P191" s="80"/>
      <c r="R191" s="80"/>
      <c r="S191" s="20"/>
      <c r="U191" s="286">
        <v>5190</v>
      </c>
      <c r="V191" s="286">
        <v>6030</v>
      </c>
      <c r="W191" s="286"/>
      <c r="X191" s="286"/>
      <c r="Y191" s="286"/>
      <c r="Z191" s="286"/>
      <c r="AA191" s="286"/>
      <c r="AB191" s="286"/>
    </row>
    <row r="192" spans="1:28" ht="35.1" customHeight="1" x14ac:dyDescent="0.25">
      <c r="A192" s="8"/>
      <c r="B192" s="16" t="s">
        <v>6</v>
      </c>
      <c r="C192" s="17"/>
      <c r="D192" s="18">
        <f t="shared" si="24"/>
        <v>4325</v>
      </c>
      <c r="E192" s="56">
        <f t="shared" si="25"/>
        <v>5190</v>
      </c>
      <c r="F192" s="15">
        <f t="shared" si="26"/>
        <v>5025</v>
      </c>
      <c r="G192" s="56">
        <f t="shared" si="27"/>
        <v>6030</v>
      </c>
      <c r="H192" s="81"/>
      <c r="I192" s="49"/>
      <c r="J192" s="26"/>
      <c r="K192" s="49"/>
      <c r="L192" s="80"/>
      <c r="N192" s="80"/>
      <c r="O192" s="20"/>
      <c r="P192" s="80"/>
      <c r="R192" s="80"/>
      <c r="S192" s="20"/>
      <c r="U192" s="286">
        <v>5190</v>
      </c>
      <c r="V192" s="286">
        <v>6030</v>
      </c>
      <c r="W192" s="286"/>
      <c r="X192" s="286"/>
      <c r="Y192" s="286"/>
      <c r="Z192" s="286"/>
      <c r="AA192" s="286"/>
      <c r="AB192" s="286"/>
    </row>
    <row r="193" spans="1:28" ht="35.1" customHeight="1" x14ac:dyDescent="0.25">
      <c r="A193" s="8"/>
      <c r="B193" s="21" t="s">
        <v>7</v>
      </c>
      <c r="C193" s="22"/>
      <c r="D193" s="23">
        <f t="shared" si="24"/>
        <v>4325</v>
      </c>
      <c r="E193" s="59">
        <f t="shared" si="25"/>
        <v>5190</v>
      </c>
      <c r="F193" s="15">
        <f t="shared" si="26"/>
        <v>5025</v>
      </c>
      <c r="G193" s="59">
        <f t="shared" si="27"/>
        <v>6030</v>
      </c>
      <c r="H193" s="81"/>
      <c r="I193" s="49"/>
      <c r="J193" s="26"/>
      <c r="K193" s="49"/>
      <c r="L193" s="80"/>
      <c r="N193" s="80"/>
      <c r="O193" s="20"/>
      <c r="P193" s="80"/>
      <c r="R193" s="80"/>
      <c r="S193" s="20"/>
      <c r="U193" s="286">
        <v>5190</v>
      </c>
      <c r="V193" s="286">
        <v>6030</v>
      </c>
      <c r="W193" s="286"/>
      <c r="X193" s="286"/>
      <c r="Y193" s="286"/>
      <c r="Z193" s="286"/>
      <c r="AA193" s="286"/>
      <c r="AB193" s="286"/>
    </row>
    <row r="194" spans="1:28" x14ac:dyDescent="0.25">
      <c r="C194" s="24"/>
      <c r="D194" s="24"/>
      <c r="E194" s="46"/>
      <c r="F194" s="24"/>
      <c r="G194" s="46"/>
      <c r="H194" s="10"/>
      <c r="I194" s="8"/>
      <c r="J194" s="8"/>
      <c r="K194" s="8"/>
    </row>
    <row r="195" spans="1:28" x14ac:dyDescent="0.25">
      <c r="B195" s="155" t="str">
        <f>IF($C$1="ENG","For additonal charge:","Послуги за додаткову плату:")</f>
        <v>Послуги за додаткову плату:</v>
      </c>
      <c r="C195" s="156"/>
      <c r="D195" s="156"/>
      <c r="E195" s="157"/>
      <c r="F195" s="24"/>
      <c r="G195" s="46"/>
      <c r="H195" s="10"/>
      <c r="I195" s="8"/>
      <c r="J195" s="8"/>
      <c r="K195" s="8"/>
    </row>
    <row r="196" spans="1:28" ht="5.0999999999999996" customHeight="1" x14ac:dyDescent="0.25">
      <c r="B196" s="25"/>
      <c r="C196" s="24"/>
      <c r="D196" s="24"/>
      <c r="E196" s="46"/>
      <c r="F196" s="24"/>
      <c r="G196" s="24"/>
      <c r="H196" s="10"/>
      <c r="I196" s="8"/>
      <c r="J196" s="8"/>
      <c r="K196" s="8"/>
    </row>
    <row r="197" spans="1:28" x14ac:dyDescent="0.25">
      <c r="B197" s="317" t="str">
        <f>IF($C$1="ENG","door leaf with width 100","полотно розміром 100")</f>
        <v>полотно розміром 100</v>
      </c>
      <c r="C197" s="318"/>
      <c r="D197" s="100">
        <f t="shared" ref="D197:D199" si="28">IF(U197="","",(1-$S$2)*(U197/1.2))</f>
        <v>708.33333333333337</v>
      </c>
      <c r="E197" s="73">
        <f>IF($S$5=0.2,D197*1.2,D197)/$S$4</f>
        <v>850</v>
      </c>
      <c r="F197" s="24"/>
      <c r="G197" s="24"/>
      <c r="H197" s="10"/>
      <c r="I197" s="8"/>
      <c r="J197" s="8"/>
      <c r="K197" s="8"/>
      <c r="U197" s="286">
        <v>850</v>
      </c>
      <c r="V197" s="286"/>
      <c r="W197" s="286"/>
      <c r="X197" s="286"/>
      <c r="Y197" s="286"/>
      <c r="Z197" s="286"/>
      <c r="AA197" s="286"/>
      <c r="AB197" s="286"/>
    </row>
    <row r="198" spans="1:28" x14ac:dyDescent="0.25">
      <c r="B198" s="319" t="str">
        <f>IF($C$1="ENG","Ventilation sleeves (1 row)","вентиляційні віддушини (1 ряд)")</f>
        <v>вентиляційні віддушини (1 ряд)</v>
      </c>
      <c r="C198" s="320"/>
      <c r="D198" s="101">
        <f t="shared" si="28"/>
        <v>241.66666666666669</v>
      </c>
      <c r="E198" s="74">
        <f>IF($S$5=0.2,D198*1.2,D198)/$S$4</f>
        <v>290</v>
      </c>
      <c r="F198" s="24"/>
      <c r="G198" s="24"/>
      <c r="I198" s="11"/>
      <c r="J198" s="11"/>
      <c r="K198" s="11"/>
      <c r="U198" s="286">
        <v>290</v>
      </c>
      <c r="V198" s="286"/>
      <c r="W198" s="286"/>
      <c r="X198" s="286"/>
      <c r="Y198" s="286"/>
      <c r="Z198" s="286"/>
      <c r="AA198" s="286"/>
      <c r="AB198" s="286"/>
    </row>
    <row r="199" spans="1:28" x14ac:dyDescent="0.25">
      <c r="B199" s="319" t="str">
        <f>IF($C$1="ENG","Ventilation undercut","вентиляційний підріз")</f>
        <v>вентиляційний підріз</v>
      </c>
      <c r="C199" s="320"/>
      <c r="D199" s="79">
        <f t="shared" si="28"/>
        <v>162.5</v>
      </c>
      <c r="E199" s="74">
        <f>IF($S$5=0.2,D199*1.2,D199)/$S$4</f>
        <v>195</v>
      </c>
      <c r="F199" s="24"/>
      <c r="G199" s="24"/>
      <c r="H199" s="5"/>
      <c r="U199" s="286">
        <v>195</v>
      </c>
      <c r="V199" s="286"/>
      <c r="W199" s="286"/>
      <c r="X199" s="286"/>
      <c r="Y199" s="286"/>
      <c r="Z199" s="286"/>
      <c r="AA199" s="286"/>
      <c r="AB199" s="286"/>
    </row>
    <row r="200" spans="1:28" x14ac:dyDescent="0.25">
      <c r="B200" s="319" t="str">
        <f>IF($C$1="ENG","door handle-lock (for sliding doors)","ручка-замок (для дверей купе)")</f>
        <v>ручка-замок (для дверей купе)</v>
      </c>
      <c r="C200" s="320"/>
      <c r="D200" s="101">
        <f>IF(U200="","",(1-$S$2)*(U200/1.2))</f>
        <v>533.33333333333337</v>
      </c>
      <c r="E200" s="74">
        <f>IF($S$5=0.2,D200*1.2,D200)/$S$4</f>
        <v>640</v>
      </c>
      <c r="F200" s="24"/>
      <c r="G200" s="24"/>
      <c r="I200" s="11"/>
      <c r="J200" s="11"/>
      <c r="K200" s="19"/>
      <c r="U200" s="286">
        <v>640</v>
      </c>
      <c r="V200" s="286"/>
      <c r="W200" s="286"/>
      <c r="X200" s="286"/>
      <c r="Y200" s="286"/>
      <c r="Z200" s="286"/>
      <c r="AA200" s="286"/>
      <c r="AB200" s="286"/>
    </row>
    <row r="201" spans="1:28" x14ac:dyDescent="0.25">
      <c r="B201" s="319" t="str">
        <f>IF($C$1="ENG","door hinge caps (1 set)","накладка на завіси (1 к-т)")</f>
        <v>накладка на завіси (1 к-т)</v>
      </c>
      <c r="C201" s="320"/>
      <c r="D201" s="103">
        <f>IF(U201="","",(1-$S$2)*(U201/1.2))</f>
        <v>75</v>
      </c>
      <c r="E201" s="74">
        <f>IF($S$5=0.2,D201*1.2,D201)/$S$4</f>
        <v>90</v>
      </c>
      <c r="F201" s="24"/>
      <c r="G201" s="24"/>
      <c r="U201" s="286">
        <v>90</v>
      </c>
      <c r="V201" s="286"/>
      <c r="W201" s="286"/>
      <c r="X201" s="286"/>
      <c r="Y201" s="286"/>
      <c r="Z201" s="286"/>
      <c r="AA201" s="286"/>
      <c r="AB201" s="286"/>
    </row>
    <row r="202" spans="1:28" x14ac:dyDescent="0.25">
      <c r="B202" s="319" t="str">
        <f>IF($C$1="ENG","door handle","дверна ручка")</f>
        <v>дверна ручка</v>
      </c>
      <c r="C202" s="320"/>
      <c r="D202" s="102" t="str">
        <f>IF(U202="","",(1-$S$2)*(U202/1.2))</f>
        <v/>
      </c>
      <c r="E202" s="180" t="str">
        <f>IF($C$1="ENG","see Handles Price","див.Таблицю Ручки")</f>
        <v>див.Таблицю Ручки</v>
      </c>
      <c r="F202" s="24"/>
      <c r="G202" s="24"/>
      <c r="U202" s="286"/>
      <c r="V202" s="286"/>
      <c r="W202" s="286"/>
      <c r="X202" s="286"/>
      <c r="Y202" s="286"/>
      <c r="Z202" s="286"/>
      <c r="AA202" s="286"/>
      <c r="AB202" s="286"/>
    </row>
    <row r="203" spans="1:28" ht="14.25" customHeight="1" x14ac:dyDescent="0.25">
      <c r="C203" s="24"/>
      <c r="D203" s="24"/>
      <c r="E203" s="24"/>
      <c r="F203" s="24"/>
      <c r="G203" s="24"/>
      <c r="H203" s="5"/>
      <c r="P203" s="333" t="str">
        <f>IF($C$1="ENG",CONCATENATE("down to: ",B349),CONCATENATE("вниз до: ",B349))</f>
        <v>вниз до: Полотна збірні: ECO-MILANO</v>
      </c>
      <c r="Q203" s="333"/>
      <c r="R203" s="333"/>
      <c r="S203" s="333"/>
    </row>
    <row r="204" spans="1:28" ht="14.25" customHeight="1" x14ac:dyDescent="0.25">
      <c r="C204" s="24"/>
      <c r="D204" s="24"/>
      <c r="E204" s="24"/>
      <c r="F204" s="24"/>
      <c r="G204" s="24"/>
      <c r="H204" s="5"/>
    </row>
    <row r="205" spans="1:28" ht="14.25" customHeight="1" x14ac:dyDescent="0.25">
      <c r="C205" s="24"/>
      <c r="D205" s="24"/>
      <c r="E205" s="24"/>
      <c r="F205" s="24"/>
      <c r="G205" s="24"/>
      <c r="H205" s="5"/>
    </row>
    <row r="206" spans="1:28" ht="14.25" customHeight="1" x14ac:dyDescent="0.25">
      <c r="C206" s="24"/>
      <c r="D206" s="24"/>
      <c r="E206" s="24"/>
      <c r="F206" s="24"/>
      <c r="G206" s="24"/>
      <c r="H206" s="5"/>
    </row>
    <row r="207" spans="1:28" ht="14.25" customHeight="1" x14ac:dyDescent="0.25">
      <c r="C207" s="24"/>
      <c r="D207" s="24"/>
      <c r="E207" s="24"/>
      <c r="F207" s="24"/>
      <c r="G207" s="24"/>
      <c r="H207" s="5"/>
    </row>
    <row r="208" spans="1:28" ht="14.25" customHeight="1" x14ac:dyDescent="0.25">
      <c r="C208" s="24"/>
      <c r="D208" s="24"/>
      <c r="E208" s="24"/>
      <c r="F208" s="24"/>
      <c r="G208" s="24"/>
      <c r="H208" s="5"/>
    </row>
    <row r="209" spans="3:8" ht="14.25" customHeight="1" x14ac:dyDescent="0.25">
      <c r="C209" s="24"/>
      <c r="D209" s="24"/>
      <c r="E209" s="24"/>
      <c r="F209" s="24"/>
      <c r="G209" s="24"/>
      <c r="H209" s="5"/>
    </row>
    <row r="210" spans="3:8" ht="14.25" customHeight="1" x14ac:dyDescent="0.25">
      <c r="C210" s="24"/>
      <c r="D210" s="24"/>
      <c r="E210" s="24"/>
      <c r="F210" s="24"/>
      <c r="G210" s="24"/>
      <c r="H210" s="5"/>
    </row>
    <row r="211" spans="3:8" ht="14.25" customHeight="1" x14ac:dyDescent="0.25">
      <c r="C211" s="24"/>
      <c r="D211" s="24"/>
      <c r="E211" s="24"/>
      <c r="F211" s="24"/>
      <c r="G211" s="24"/>
      <c r="H211" s="5"/>
    </row>
    <row r="212" spans="3:8" ht="14.25" customHeight="1" x14ac:dyDescent="0.25">
      <c r="C212" s="24"/>
      <c r="D212" s="24"/>
      <c r="E212" s="24"/>
      <c r="F212" s="24"/>
      <c r="G212" s="24"/>
      <c r="H212" s="5"/>
    </row>
    <row r="213" spans="3:8" ht="14.25" customHeight="1" x14ac:dyDescent="0.25">
      <c r="C213" s="24"/>
      <c r="D213" s="24"/>
      <c r="E213" s="24"/>
      <c r="F213" s="24"/>
      <c r="G213" s="24"/>
      <c r="H213" s="5"/>
    </row>
    <row r="214" spans="3:8" ht="14.25" customHeight="1" x14ac:dyDescent="0.25">
      <c r="C214" s="24"/>
      <c r="D214" s="24"/>
      <c r="E214" s="24"/>
      <c r="F214" s="24"/>
      <c r="G214" s="24"/>
      <c r="H214" s="5"/>
    </row>
    <row r="215" spans="3:8" ht="14.25" customHeight="1" x14ac:dyDescent="0.25">
      <c r="C215" s="24"/>
      <c r="D215" s="24"/>
      <c r="E215" s="24"/>
      <c r="F215" s="24"/>
      <c r="G215" s="24"/>
      <c r="H215" s="5"/>
    </row>
    <row r="216" spans="3:8" ht="14.25" customHeight="1" x14ac:dyDescent="0.25">
      <c r="C216" s="24"/>
      <c r="D216" s="24"/>
      <c r="E216" s="24"/>
      <c r="F216" s="24"/>
      <c r="G216" s="24"/>
      <c r="H216" s="5"/>
    </row>
    <row r="217" spans="3:8" ht="14.25" customHeight="1" x14ac:dyDescent="0.25">
      <c r="C217" s="24"/>
      <c r="D217" s="24"/>
      <c r="E217" s="24"/>
      <c r="F217" s="24"/>
      <c r="G217" s="24"/>
      <c r="H217" s="5"/>
    </row>
    <row r="218" spans="3:8" ht="14.25" customHeight="1" x14ac:dyDescent="0.25">
      <c r="C218" s="24"/>
      <c r="D218" s="24"/>
      <c r="E218" s="24"/>
      <c r="F218" s="24"/>
      <c r="G218" s="24"/>
      <c r="H218" s="5"/>
    </row>
    <row r="219" spans="3:8" ht="14.25" customHeight="1" x14ac:dyDescent="0.25">
      <c r="C219" s="24"/>
      <c r="D219" s="24"/>
      <c r="E219" s="24"/>
      <c r="F219" s="24"/>
      <c r="G219" s="24"/>
      <c r="H219" s="5"/>
    </row>
    <row r="220" spans="3:8" ht="14.25" customHeight="1" x14ac:dyDescent="0.25">
      <c r="C220" s="24"/>
      <c r="D220" s="24"/>
      <c r="E220" s="24"/>
      <c r="F220" s="24"/>
      <c r="G220" s="24"/>
      <c r="H220" s="5"/>
    </row>
    <row r="221" spans="3:8" ht="14.25" customHeight="1" x14ac:dyDescent="0.25">
      <c r="C221" s="24"/>
      <c r="D221" s="24"/>
      <c r="E221" s="24"/>
      <c r="F221" s="24"/>
      <c r="G221" s="24"/>
      <c r="H221" s="5"/>
    </row>
    <row r="222" spans="3:8" ht="14.25" customHeight="1" x14ac:dyDescent="0.25">
      <c r="C222" s="24"/>
      <c r="D222" s="24"/>
      <c r="E222" s="24"/>
      <c r="F222" s="24"/>
      <c r="G222" s="24"/>
      <c r="H222" s="5"/>
    </row>
    <row r="223" spans="3:8" ht="14.25" customHeight="1" x14ac:dyDescent="0.25">
      <c r="C223" s="24"/>
      <c r="D223" s="24"/>
      <c r="E223" s="24"/>
      <c r="F223" s="24"/>
      <c r="G223" s="24"/>
      <c r="H223" s="5"/>
    </row>
    <row r="224" spans="3:8" ht="14.25" customHeight="1" x14ac:dyDescent="0.25">
      <c r="C224" s="24"/>
      <c r="D224" s="24"/>
      <c r="E224" s="24"/>
      <c r="F224" s="24"/>
      <c r="G224" s="24"/>
      <c r="H224" s="5"/>
    </row>
    <row r="225" spans="3:8" ht="14.25" customHeight="1" x14ac:dyDescent="0.25">
      <c r="C225" s="24"/>
      <c r="D225" s="24"/>
      <c r="E225" s="24"/>
      <c r="F225" s="24"/>
      <c r="G225" s="24"/>
      <c r="H225" s="5"/>
    </row>
    <row r="226" spans="3:8" ht="14.25" customHeight="1" x14ac:dyDescent="0.25">
      <c r="C226" s="24"/>
      <c r="D226" s="24"/>
      <c r="E226" s="24"/>
      <c r="F226" s="24"/>
      <c r="G226" s="24"/>
      <c r="H226" s="5"/>
    </row>
    <row r="227" spans="3:8" ht="14.25" customHeight="1" x14ac:dyDescent="0.25">
      <c r="C227" s="24"/>
      <c r="D227" s="24"/>
      <c r="E227" s="24"/>
      <c r="F227" s="24"/>
      <c r="G227" s="24"/>
      <c r="H227" s="5"/>
    </row>
    <row r="228" spans="3:8" ht="14.25" customHeight="1" x14ac:dyDescent="0.25">
      <c r="C228" s="24"/>
      <c r="D228" s="24"/>
      <c r="E228" s="24"/>
      <c r="F228" s="24"/>
      <c r="G228" s="24"/>
      <c r="H228" s="5"/>
    </row>
    <row r="229" spans="3:8" ht="14.25" customHeight="1" x14ac:dyDescent="0.25">
      <c r="C229" s="24"/>
      <c r="D229" s="24"/>
      <c r="E229" s="24"/>
      <c r="F229" s="24"/>
      <c r="G229" s="24"/>
      <c r="H229" s="5"/>
    </row>
    <row r="230" spans="3:8" ht="14.25" customHeight="1" x14ac:dyDescent="0.25">
      <c r="C230" s="24"/>
      <c r="D230" s="24"/>
      <c r="E230" s="24"/>
      <c r="F230" s="24"/>
      <c r="G230" s="24"/>
      <c r="H230" s="5"/>
    </row>
    <row r="231" spans="3:8" ht="14.25" customHeight="1" x14ac:dyDescent="0.25">
      <c r="C231" s="24"/>
      <c r="D231" s="24"/>
      <c r="E231" s="24"/>
      <c r="F231" s="24"/>
      <c r="G231" s="24"/>
      <c r="H231" s="5"/>
    </row>
    <row r="232" spans="3:8" ht="14.25" customHeight="1" x14ac:dyDescent="0.25">
      <c r="C232" s="24"/>
      <c r="D232" s="24"/>
      <c r="E232" s="24"/>
      <c r="F232" s="24"/>
      <c r="G232" s="24"/>
      <c r="H232" s="5"/>
    </row>
    <row r="233" spans="3:8" ht="14.25" customHeight="1" x14ac:dyDescent="0.25">
      <c r="C233" s="24"/>
      <c r="D233" s="24"/>
      <c r="E233" s="24"/>
      <c r="F233" s="24"/>
      <c r="G233" s="24"/>
      <c r="H233" s="5"/>
    </row>
    <row r="234" spans="3:8" ht="14.25" customHeight="1" x14ac:dyDescent="0.25">
      <c r="C234" s="24"/>
      <c r="D234" s="24"/>
      <c r="E234" s="24"/>
      <c r="F234" s="24"/>
      <c r="G234" s="24"/>
      <c r="H234" s="5"/>
    </row>
    <row r="235" spans="3:8" ht="14.25" customHeight="1" x14ac:dyDescent="0.25">
      <c r="C235" s="24"/>
      <c r="D235" s="24"/>
      <c r="E235" s="24"/>
      <c r="F235" s="24"/>
      <c r="G235" s="24"/>
      <c r="H235" s="5"/>
    </row>
    <row r="236" spans="3:8" ht="14.25" customHeight="1" x14ac:dyDescent="0.25">
      <c r="C236" s="24"/>
      <c r="D236" s="24"/>
      <c r="E236" s="24"/>
      <c r="F236" s="24"/>
      <c r="G236" s="24"/>
      <c r="H236" s="5"/>
    </row>
    <row r="237" spans="3:8" ht="14.25" customHeight="1" x14ac:dyDescent="0.25">
      <c r="C237" s="24"/>
      <c r="D237" s="24"/>
      <c r="E237" s="24"/>
      <c r="F237" s="24"/>
      <c r="G237" s="24"/>
      <c r="H237" s="5"/>
    </row>
    <row r="238" spans="3:8" ht="14.25" customHeight="1" x14ac:dyDescent="0.25">
      <c r="C238" s="24"/>
      <c r="D238" s="24"/>
      <c r="E238" s="24"/>
      <c r="F238" s="24"/>
      <c r="G238" s="24"/>
      <c r="H238" s="5"/>
    </row>
    <row r="239" spans="3:8" ht="14.25" customHeight="1" x14ac:dyDescent="0.25">
      <c r="C239" s="24"/>
      <c r="D239" s="24"/>
      <c r="E239" s="24"/>
      <c r="F239" s="24"/>
      <c r="G239" s="24"/>
      <c r="H239" s="5"/>
    </row>
    <row r="240" spans="3:8" ht="14.25" customHeight="1" x14ac:dyDescent="0.25">
      <c r="C240" s="24"/>
      <c r="D240" s="24"/>
      <c r="E240" s="24"/>
      <c r="F240" s="24"/>
      <c r="G240" s="24"/>
      <c r="H240" s="5"/>
    </row>
    <row r="241" spans="3:8" ht="14.25" customHeight="1" x14ac:dyDescent="0.25">
      <c r="C241" s="24"/>
      <c r="D241" s="24"/>
      <c r="E241" s="24"/>
      <c r="F241" s="24"/>
      <c r="G241" s="24"/>
      <c r="H241" s="5"/>
    </row>
    <row r="242" spans="3:8" ht="14.25" customHeight="1" x14ac:dyDescent="0.25">
      <c r="C242" s="24"/>
      <c r="D242" s="24"/>
      <c r="E242" s="24"/>
      <c r="F242" s="24"/>
      <c r="G242" s="24"/>
      <c r="H242" s="5"/>
    </row>
    <row r="243" spans="3:8" ht="14.25" customHeight="1" x14ac:dyDescent="0.25">
      <c r="C243" s="24"/>
      <c r="D243" s="24"/>
      <c r="E243" s="24"/>
      <c r="F243" s="24"/>
      <c r="G243" s="24"/>
      <c r="H243" s="5"/>
    </row>
    <row r="244" spans="3:8" ht="14.25" customHeight="1" x14ac:dyDescent="0.25">
      <c r="C244" s="24"/>
      <c r="D244" s="24"/>
      <c r="E244" s="24"/>
      <c r="F244" s="24"/>
      <c r="G244" s="24"/>
      <c r="H244" s="5"/>
    </row>
    <row r="245" spans="3:8" ht="14.25" customHeight="1" x14ac:dyDescent="0.25">
      <c r="C245" s="24"/>
      <c r="D245" s="24"/>
      <c r="E245" s="24"/>
      <c r="F245" s="24"/>
      <c r="G245" s="24"/>
      <c r="H245" s="5"/>
    </row>
    <row r="246" spans="3:8" ht="14.25" customHeight="1" x14ac:dyDescent="0.25">
      <c r="C246" s="24"/>
      <c r="D246" s="24"/>
      <c r="E246" s="24"/>
      <c r="F246" s="24"/>
      <c r="G246" s="24"/>
      <c r="H246" s="5"/>
    </row>
    <row r="247" spans="3:8" ht="14.25" customHeight="1" x14ac:dyDescent="0.25">
      <c r="C247" s="24"/>
      <c r="D247" s="24"/>
      <c r="E247" s="24"/>
      <c r="F247" s="24"/>
      <c r="G247" s="24"/>
      <c r="H247" s="5"/>
    </row>
    <row r="248" spans="3:8" ht="14.25" customHeight="1" x14ac:dyDescent="0.25">
      <c r="C248" s="24"/>
      <c r="D248" s="24"/>
      <c r="E248" s="24"/>
      <c r="F248" s="24"/>
      <c r="G248" s="24"/>
      <c r="H248" s="5"/>
    </row>
    <row r="249" spans="3:8" ht="14.25" customHeight="1" x14ac:dyDescent="0.25">
      <c r="C249" s="24"/>
      <c r="D249" s="24"/>
      <c r="E249" s="24"/>
      <c r="F249" s="24"/>
      <c r="G249" s="24"/>
      <c r="H249" s="5"/>
    </row>
    <row r="250" spans="3:8" ht="14.25" customHeight="1" x14ac:dyDescent="0.25">
      <c r="C250" s="24"/>
      <c r="D250" s="24"/>
      <c r="E250" s="24"/>
      <c r="F250" s="24"/>
      <c r="G250" s="24"/>
      <c r="H250" s="5"/>
    </row>
    <row r="251" spans="3:8" ht="14.25" customHeight="1" x14ac:dyDescent="0.25">
      <c r="C251" s="24"/>
      <c r="D251" s="24"/>
      <c r="E251" s="24"/>
      <c r="F251" s="24"/>
      <c r="G251" s="24"/>
      <c r="H251" s="5"/>
    </row>
    <row r="252" spans="3:8" ht="14.25" customHeight="1" x14ac:dyDescent="0.25">
      <c r="C252" s="24"/>
      <c r="D252" s="24"/>
      <c r="E252" s="24"/>
      <c r="F252" s="24"/>
      <c r="G252" s="24"/>
      <c r="H252" s="5"/>
    </row>
    <row r="253" spans="3:8" ht="14.25" customHeight="1" x14ac:dyDescent="0.25">
      <c r="C253" s="24"/>
      <c r="D253" s="24"/>
      <c r="E253" s="24"/>
      <c r="F253" s="24"/>
      <c r="G253" s="24"/>
      <c r="H253" s="5"/>
    </row>
    <row r="254" spans="3:8" ht="14.25" customHeight="1" x14ac:dyDescent="0.25">
      <c r="C254" s="24"/>
      <c r="D254" s="24"/>
      <c r="E254" s="24"/>
      <c r="F254" s="24"/>
      <c r="G254" s="24"/>
      <c r="H254" s="5"/>
    </row>
    <row r="255" spans="3:8" ht="14.25" customHeight="1" x14ac:dyDescent="0.25">
      <c r="C255" s="24"/>
      <c r="D255" s="24"/>
      <c r="E255" s="24"/>
      <c r="F255" s="24"/>
      <c r="G255" s="24"/>
      <c r="H255" s="5"/>
    </row>
    <row r="256" spans="3:8" ht="14.25" customHeight="1" x14ac:dyDescent="0.25">
      <c r="C256" s="24"/>
      <c r="D256" s="24"/>
      <c r="E256" s="24"/>
      <c r="F256" s="24"/>
      <c r="G256" s="24"/>
      <c r="H256" s="5"/>
    </row>
    <row r="257" spans="3:8" ht="14.25" customHeight="1" x14ac:dyDescent="0.25">
      <c r="C257" s="24"/>
      <c r="D257" s="24"/>
      <c r="E257" s="24"/>
      <c r="F257" s="24"/>
      <c r="G257" s="24"/>
      <c r="H257" s="5"/>
    </row>
    <row r="258" spans="3:8" ht="14.25" customHeight="1" x14ac:dyDescent="0.25">
      <c r="C258" s="24"/>
      <c r="D258" s="24"/>
      <c r="E258" s="24"/>
      <c r="F258" s="24"/>
      <c r="G258" s="24"/>
      <c r="H258" s="5"/>
    </row>
    <row r="259" spans="3:8" ht="14.25" customHeight="1" x14ac:dyDescent="0.25">
      <c r="C259" s="24"/>
      <c r="D259" s="24"/>
      <c r="E259" s="24"/>
      <c r="F259" s="24"/>
      <c r="G259" s="24"/>
      <c r="H259" s="5"/>
    </row>
    <row r="260" spans="3:8" ht="14.25" customHeight="1" x14ac:dyDescent="0.25">
      <c r="C260" s="24"/>
      <c r="D260" s="24"/>
      <c r="E260" s="24"/>
      <c r="F260" s="24"/>
      <c r="G260" s="24"/>
      <c r="H260" s="5"/>
    </row>
    <row r="261" spans="3:8" ht="14.25" customHeight="1" x14ac:dyDescent="0.25">
      <c r="C261" s="24"/>
      <c r="D261" s="24"/>
      <c r="E261" s="24"/>
      <c r="F261" s="24"/>
      <c r="G261" s="24"/>
      <c r="H261" s="5"/>
    </row>
    <row r="262" spans="3:8" ht="14.25" customHeight="1" x14ac:dyDescent="0.25">
      <c r="C262" s="24"/>
      <c r="D262" s="24"/>
      <c r="E262" s="24"/>
      <c r="F262" s="24"/>
      <c r="G262" s="24"/>
      <c r="H262" s="5"/>
    </row>
    <row r="263" spans="3:8" ht="14.25" customHeight="1" x14ac:dyDescent="0.25">
      <c r="C263" s="24"/>
      <c r="D263" s="24"/>
      <c r="E263" s="24"/>
      <c r="F263" s="24"/>
      <c r="G263" s="24"/>
      <c r="H263" s="5"/>
    </row>
    <row r="264" spans="3:8" ht="14.25" customHeight="1" x14ac:dyDescent="0.25">
      <c r="C264" s="24"/>
      <c r="D264" s="24"/>
      <c r="E264" s="24"/>
      <c r="F264" s="24"/>
      <c r="G264" s="24"/>
      <c r="H264" s="5"/>
    </row>
    <row r="265" spans="3:8" ht="14.25" customHeight="1" x14ac:dyDescent="0.25">
      <c r="C265" s="24"/>
      <c r="D265" s="24"/>
      <c r="E265" s="24"/>
      <c r="F265" s="24"/>
      <c r="G265" s="24"/>
      <c r="H265" s="5"/>
    </row>
    <row r="266" spans="3:8" ht="14.25" customHeight="1" x14ac:dyDescent="0.25">
      <c r="C266" s="24"/>
      <c r="D266" s="24"/>
      <c r="E266" s="24"/>
      <c r="F266" s="24"/>
      <c r="G266" s="24"/>
      <c r="H266" s="5"/>
    </row>
    <row r="267" spans="3:8" ht="14.25" customHeight="1" x14ac:dyDescent="0.25">
      <c r="C267" s="24"/>
      <c r="D267" s="24"/>
      <c r="E267" s="24"/>
      <c r="F267" s="24"/>
      <c r="G267" s="24"/>
      <c r="H267" s="5"/>
    </row>
    <row r="268" spans="3:8" ht="14.25" customHeight="1" x14ac:dyDescent="0.25">
      <c r="C268" s="24"/>
      <c r="D268" s="24"/>
      <c r="E268" s="24"/>
      <c r="F268" s="24"/>
      <c r="G268" s="24"/>
      <c r="H268" s="5"/>
    </row>
    <row r="269" spans="3:8" ht="14.25" customHeight="1" x14ac:dyDescent="0.25">
      <c r="C269" s="24"/>
      <c r="D269" s="24"/>
      <c r="E269" s="24"/>
      <c r="F269" s="24"/>
      <c r="G269" s="24"/>
      <c r="H269" s="5"/>
    </row>
    <row r="270" spans="3:8" ht="14.25" customHeight="1" x14ac:dyDescent="0.25">
      <c r="C270" s="24"/>
      <c r="D270" s="24"/>
      <c r="E270" s="24"/>
      <c r="F270" s="24"/>
      <c r="G270" s="24"/>
      <c r="H270" s="5"/>
    </row>
    <row r="271" spans="3:8" ht="14.25" customHeight="1" x14ac:dyDescent="0.25">
      <c r="C271" s="24"/>
      <c r="D271" s="24"/>
      <c r="E271" s="24"/>
      <c r="F271" s="24"/>
      <c r="G271" s="24"/>
      <c r="H271" s="5"/>
    </row>
    <row r="272" spans="3:8" ht="14.25" customHeight="1" x14ac:dyDescent="0.25">
      <c r="C272" s="24"/>
      <c r="D272" s="24"/>
      <c r="E272" s="24"/>
      <c r="F272" s="24"/>
      <c r="G272" s="24"/>
      <c r="H272" s="5"/>
    </row>
    <row r="273" spans="3:8" ht="14.25" customHeight="1" x14ac:dyDescent="0.25">
      <c r="C273" s="24"/>
      <c r="D273" s="24"/>
      <c r="E273" s="24"/>
      <c r="F273" s="24"/>
      <c r="G273" s="24"/>
      <c r="H273" s="5"/>
    </row>
    <row r="274" spans="3:8" ht="14.25" customHeight="1" x14ac:dyDescent="0.25">
      <c r="C274" s="24"/>
      <c r="D274" s="24"/>
      <c r="E274" s="24"/>
      <c r="F274" s="24"/>
      <c r="G274" s="24"/>
      <c r="H274" s="5"/>
    </row>
    <row r="275" spans="3:8" ht="14.25" customHeight="1" x14ac:dyDescent="0.25">
      <c r="C275" s="24"/>
      <c r="D275" s="24"/>
      <c r="E275" s="24"/>
      <c r="F275" s="24"/>
      <c r="G275" s="24"/>
      <c r="H275" s="5"/>
    </row>
    <row r="276" spans="3:8" ht="14.25" customHeight="1" x14ac:dyDescent="0.25">
      <c r="C276" s="24"/>
      <c r="D276" s="24"/>
      <c r="E276" s="24"/>
      <c r="F276" s="24"/>
      <c r="G276" s="24"/>
      <c r="H276" s="5"/>
    </row>
    <row r="277" spans="3:8" ht="14.25" customHeight="1" x14ac:dyDescent="0.25">
      <c r="C277" s="24"/>
      <c r="D277" s="24"/>
      <c r="E277" s="24"/>
      <c r="F277" s="24"/>
      <c r="G277" s="24"/>
      <c r="H277" s="5"/>
    </row>
    <row r="278" spans="3:8" ht="14.25" customHeight="1" x14ac:dyDescent="0.25">
      <c r="C278" s="24"/>
      <c r="D278" s="24"/>
      <c r="E278" s="24"/>
      <c r="F278" s="24"/>
      <c r="G278" s="24"/>
      <c r="H278" s="5"/>
    </row>
    <row r="279" spans="3:8" ht="14.25" customHeight="1" x14ac:dyDescent="0.25">
      <c r="C279" s="24"/>
      <c r="D279" s="24"/>
      <c r="E279" s="24"/>
      <c r="F279" s="24"/>
      <c r="G279" s="24"/>
      <c r="H279" s="5"/>
    </row>
    <row r="280" spans="3:8" ht="14.25" customHeight="1" x14ac:dyDescent="0.25">
      <c r="C280" s="24"/>
      <c r="D280" s="24"/>
      <c r="E280" s="24"/>
      <c r="F280" s="24"/>
      <c r="G280" s="24"/>
      <c r="H280" s="5"/>
    </row>
    <row r="281" spans="3:8" ht="14.25" customHeight="1" x14ac:dyDescent="0.25">
      <c r="C281" s="24"/>
      <c r="D281" s="24"/>
      <c r="E281" s="24"/>
      <c r="F281" s="24"/>
      <c r="G281" s="24"/>
      <c r="H281" s="5"/>
    </row>
    <row r="282" spans="3:8" ht="14.25" customHeight="1" x14ac:dyDescent="0.25">
      <c r="C282" s="24"/>
      <c r="D282" s="24"/>
      <c r="E282" s="24"/>
      <c r="F282" s="24"/>
      <c r="G282" s="24"/>
      <c r="H282" s="5"/>
    </row>
    <row r="283" spans="3:8" ht="14.25" customHeight="1" x14ac:dyDescent="0.25">
      <c r="C283" s="24"/>
      <c r="D283" s="24"/>
      <c r="E283" s="24"/>
      <c r="F283" s="24"/>
      <c r="G283" s="24"/>
      <c r="H283" s="5"/>
    </row>
    <row r="284" spans="3:8" ht="14.25" customHeight="1" x14ac:dyDescent="0.25">
      <c r="C284" s="24"/>
      <c r="D284" s="24"/>
      <c r="E284" s="24"/>
      <c r="F284" s="24"/>
      <c r="G284" s="24"/>
      <c r="H284" s="5"/>
    </row>
    <row r="285" spans="3:8" ht="14.25" customHeight="1" x14ac:dyDescent="0.25">
      <c r="C285" s="24"/>
      <c r="D285" s="24"/>
      <c r="E285" s="24"/>
      <c r="F285" s="24"/>
      <c r="G285" s="24"/>
      <c r="H285" s="5"/>
    </row>
    <row r="286" spans="3:8" ht="14.25" customHeight="1" x14ac:dyDescent="0.25">
      <c r="C286" s="24"/>
      <c r="D286" s="24"/>
      <c r="E286" s="24"/>
      <c r="F286" s="24"/>
      <c r="G286" s="24"/>
      <c r="H286" s="5"/>
    </row>
    <row r="287" spans="3:8" ht="14.25" customHeight="1" x14ac:dyDescent="0.25">
      <c r="C287" s="24"/>
      <c r="D287" s="24"/>
      <c r="E287" s="24"/>
      <c r="F287" s="24"/>
      <c r="G287" s="24"/>
      <c r="H287" s="5"/>
    </row>
    <row r="288" spans="3:8" ht="14.25" customHeight="1" x14ac:dyDescent="0.25">
      <c r="C288" s="24"/>
      <c r="D288" s="24"/>
      <c r="E288" s="24"/>
      <c r="F288" s="24"/>
      <c r="G288" s="24"/>
      <c r="H288" s="5"/>
    </row>
    <row r="289" spans="3:8" ht="14.25" customHeight="1" x14ac:dyDescent="0.25">
      <c r="C289" s="24"/>
      <c r="D289" s="24"/>
      <c r="E289" s="24"/>
      <c r="F289" s="24"/>
      <c r="G289" s="24"/>
      <c r="H289" s="5"/>
    </row>
    <row r="290" spans="3:8" ht="14.25" customHeight="1" x14ac:dyDescent="0.25">
      <c r="C290" s="24"/>
      <c r="D290" s="24"/>
      <c r="E290" s="24"/>
      <c r="F290" s="24"/>
      <c r="G290" s="24"/>
      <c r="H290" s="5"/>
    </row>
    <row r="291" spans="3:8" ht="14.25" customHeight="1" x14ac:dyDescent="0.25">
      <c r="C291" s="24"/>
      <c r="D291" s="24"/>
      <c r="E291" s="24"/>
      <c r="F291" s="24"/>
      <c r="G291" s="24"/>
      <c r="H291" s="5"/>
    </row>
    <row r="292" spans="3:8" ht="14.25" customHeight="1" x14ac:dyDescent="0.25">
      <c r="C292" s="24"/>
      <c r="D292" s="24"/>
      <c r="E292" s="24"/>
      <c r="F292" s="24"/>
      <c r="G292" s="24"/>
      <c r="H292" s="5"/>
    </row>
    <row r="293" spans="3:8" ht="14.25" customHeight="1" x14ac:dyDescent="0.25">
      <c r="C293" s="24"/>
      <c r="D293" s="24"/>
      <c r="E293" s="24"/>
      <c r="F293" s="24"/>
      <c r="G293" s="24"/>
      <c r="H293" s="5"/>
    </row>
    <row r="294" spans="3:8" ht="14.25" customHeight="1" x14ac:dyDescent="0.25">
      <c r="C294" s="24"/>
      <c r="D294" s="24"/>
      <c r="E294" s="24"/>
      <c r="F294" s="24"/>
      <c r="G294" s="24"/>
      <c r="H294" s="5"/>
    </row>
    <row r="295" spans="3:8" ht="14.25" customHeight="1" x14ac:dyDescent="0.25">
      <c r="C295" s="24"/>
      <c r="D295" s="24"/>
      <c r="E295" s="24"/>
      <c r="F295" s="24"/>
      <c r="G295" s="24"/>
      <c r="H295" s="5"/>
    </row>
    <row r="296" spans="3:8" ht="14.25" customHeight="1" x14ac:dyDescent="0.25">
      <c r="C296" s="24"/>
      <c r="D296" s="24"/>
      <c r="E296" s="24"/>
      <c r="F296" s="24"/>
      <c r="G296" s="24"/>
      <c r="H296" s="5"/>
    </row>
    <row r="297" spans="3:8" ht="14.25" customHeight="1" x14ac:dyDescent="0.25">
      <c r="C297" s="24"/>
      <c r="D297" s="24"/>
      <c r="E297" s="24"/>
      <c r="F297" s="24"/>
      <c r="G297" s="24"/>
      <c r="H297" s="5"/>
    </row>
    <row r="298" spans="3:8" ht="14.25" customHeight="1" x14ac:dyDescent="0.25">
      <c r="C298" s="24"/>
      <c r="D298" s="24"/>
      <c r="E298" s="24"/>
      <c r="F298" s="24"/>
      <c r="G298" s="24"/>
      <c r="H298" s="5"/>
    </row>
    <row r="299" spans="3:8" ht="14.25" customHeight="1" x14ac:dyDescent="0.25">
      <c r="C299" s="24"/>
      <c r="D299" s="24"/>
      <c r="E299" s="24"/>
      <c r="F299" s="24"/>
      <c r="G299" s="24"/>
      <c r="H299" s="5"/>
    </row>
    <row r="300" spans="3:8" ht="14.25" customHeight="1" x14ac:dyDescent="0.25">
      <c r="C300" s="24"/>
      <c r="D300" s="24"/>
      <c r="E300" s="24"/>
      <c r="F300" s="24"/>
      <c r="G300" s="24"/>
      <c r="H300" s="5"/>
    </row>
    <row r="301" spans="3:8" ht="14.25" customHeight="1" x14ac:dyDescent="0.25">
      <c r="C301" s="24"/>
      <c r="D301" s="24"/>
      <c r="E301" s="24"/>
      <c r="F301" s="24"/>
      <c r="G301" s="24"/>
      <c r="H301" s="5"/>
    </row>
    <row r="302" spans="3:8" ht="14.25" customHeight="1" x14ac:dyDescent="0.25">
      <c r="C302" s="24"/>
      <c r="D302" s="24"/>
      <c r="E302" s="24"/>
      <c r="F302" s="24"/>
      <c r="G302" s="24"/>
      <c r="H302" s="5"/>
    </row>
    <row r="303" spans="3:8" ht="14.25" customHeight="1" x14ac:dyDescent="0.25">
      <c r="C303" s="24"/>
      <c r="D303" s="24"/>
      <c r="E303" s="24"/>
      <c r="F303" s="24"/>
      <c r="G303" s="24"/>
      <c r="H303" s="5"/>
    </row>
    <row r="304" spans="3:8" ht="14.25" customHeight="1" x14ac:dyDescent="0.25">
      <c r="C304" s="24"/>
      <c r="D304" s="24"/>
      <c r="E304" s="24"/>
      <c r="F304" s="24"/>
      <c r="G304" s="24"/>
      <c r="H304" s="5"/>
    </row>
    <row r="305" spans="3:8" ht="14.25" customHeight="1" x14ac:dyDescent="0.25">
      <c r="C305" s="24"/>
      <c r="D305" s="24"/>
      <c r="E305" s="24"/>
      <c r="F305" s="24"/>
      <c r="G305" s="24"/>
      <c r="H305" s="5"/>
    </row>
    <row r="306" spans="3:8" ht="14.25" customHeight="1" x14ac:dyDescent="0.25">
      <c r="C306" s="24"/>
      <c r="D306" s="24"/>
      <c r="E306" s="24"/>
      <c r="F306" s="24"/>
      <c r="G306" s="24"/>
      <c r="H306" s="5"/>
    </row>
    <row r="307" spans="3:8" ht="14.25" customHeight="1" x14ac:dyDescent="0.25">
      <c r="C307" s="24"/>
      <c r="D307" s="24"/>
      <c r="E307" s="24"/>
      <c r="F307" s="24"/>
      <c r="G307" s="24"/>
      <c r="H307" s="5"/>
    </row>
    <row r="308" spans="3:8" ht="14.25" customHeight="1" x14ac:dyDescent="0.25">
      <c r="C308" s="24"/>
      <c r="D308" s="24"/>
      <c r="E308" s="24"/>
      <c r="F308" s="24"/>
      <c r="G308" s="24"/>
      <c r="H308" s="5"/>
    </row>
    <row r="309" spans="3:8" ht="14.25" customHeight="1" x14ac:dyDescent="0.25">
      <c r="C309" s="24"/>
      <c r="D309" s="24"/>
      <c r="E309" s="24"/>
      <c r="F309" s="24"/>
      <c r="G309" s="24"/>
      <c r="H309" s="5"/>
    </row>
    <row r="310" spans="3:8" ht="14.25" customHeight="1" x14ac:dyDescent="0.25">
      <c r="C310" s="24"/>
      <c r="D310" s="24"/>
      <c r="E310" s="24"/>
      <c r="F310" s="24"/>
      <c r="G310" s="24"/>
      <c r="H310" s="5"/>
    </row>
    <row r="311" spans="3:8" ht="14.25" customHeight="1" x14ac:dyDescent="0.25">
      <c r="C311" s="24"/>
      <c r="D311" s="24"/>
      <c r="E311" s="24"/>
      <c r="F311" s="24"/>
      <c r="G311" s="24"/>
      <c r="H311" s="5"/>
    </row>
    <row r="312" spans="3:8" ht="14.25" customHeight="1" x14ac:dyDescent="0.25">
      <c r="C312" s="24"/>
      <c r="D312" s="24"/>
      <c r="E312" s="24"/>
      <c r="F312" s="24"/>
      <c r="G312" s="24"/>
      <c r="H312" s="5"/>
    </row>
    <row r="313" spans="3:8" ht="14.25" customHeight="1" x14ac:dyDescent="0.25">
      <c r="C313" s="24"/>
      <c r="D313" s="24"/>
      <c r="E313" s="24"/>
      <c r="F313" s="24"/>
      <c r="G313" s="24"/>
      <c r="H313" s="5"/>
    </row>
    <row r="314" spans="3:8" ht="14.25" customHeight="1" x14ac:dyDescent="0.25">
      <c r="C314" s="24"/>
      <c r="D314" s="24"/>
      <c r="E314" s="24"/>
      <c r="F314" s="24"/>
      <c r="G314" s="24"/>
      <c r="H314" s="5"/>
    </row>
    <row r="315" spans="3:8" ht="14.25" customHeight="1" x14ac:dyDescent="0.25">
      <c r="C315" s="24"/>
      <c r="D315" s="24"/>
      <c r="E315" s="24"/>
      <c r="F315" s="24"/>
      <c r="G315" s="24"/>
      <c r="H315" s="5"/>
    </row>
    <row r="316" spans="3:8" ht="14.25" customHeight="1" x14ac:dyDescent="0.25">
      <c r="C316" s="24"/>
      <c r="D316" s="24"/>
      <c r="E316" s="24"/>
      <c r="F316" s="24"/>
      <c r="G316" s="24"/>
      <c r="H316" s="5"/>
    </row>
    <row r="317" spans="3:8" ht="14.25" customHeight="1" x14ac:dyDescent="0.25">
      <c r="C317" s="24"/>
      <c r="D317" s="24"/>
      <c r="E317" s="24"/>
      <c r="F317" s="24"/>
      <c r="G317" s="24"/>
      <c r="H317" s="5"/>
    </row>
    <row r="318" spans="3:8" ht="14.25" customHeight="1" x14ac:dyDescent="0.25">
      <c r="C318" s="24"/>
      <c r="D318" s="24"/>
      <c r="E318" s="24"/>
      <c r="F318" s="24"/>
      <c r="G318" s="24"/>
      <c r="H318" s="5"/>
    </row>
    <row r="319" spans="3:8" ht="14.25" customHeight="1" x14ac:dyDescent="0.25">
      <c r="C319" s="24"/>
      <c r="D319" s="24"/>
      <c r="E319" s="24"/>
      <c r="F319" s="24"/>
      <c r="G319" s="24"/>
      <c r="H319" s="5"/>
    </row>
    <row r="320" spans="3:8" ht="14.25" customHeight="1" x14ac:dyDescent="0.25">
      <c r="C320" s="24"/>
      <c r="D320" s="24"/>
      <c r="E320" s="24"/>
      <c r="F320" s="24"/>
      <c r="G320" s="24"/>
      <c r="H320" s="5"/>
    </row>
    <row r="321" spans="3:8" ht="14.25" customHeight="1" x14ac:dyDescent="0.25">
      <c r="C321" s="24"/>
      <c r="D321" s="24"/>
      <c r="E321" s="24"/>
      <c r="F321" s="24"/>
      <c r="G321" s="24"/>
      <c r="H321" s="5"/>
    </row>
    <row r="322" spans="3:8" ht="14.25" customHeight="1" x14ac:dyDescent="0.25">
      <c r="C322" s="24"/>
      <c r="D322" s="24"/>
      <c r="E322" s="24"/>
      <c r="F322" s="24"/>
      <c r="G322" s="24"/>
      <c r="H322" s="5"/>
    </row>
    <row r="323" spans="3:8" ht="14.25" customHeight="1" x14ac:dyDescent="0.25">
      <c r="C323" s="24"/>
      <c r="D323" s="24"/>
      <c r="E323" s="24"/>
      <c r="F323" s="24"/>
      <c r="G323" s="24"/>
      <c r="H323" s="5"/>
    </row>
    <row r="324" spans="3:8" ht="14.25" customHeight="1" x14ac:dyDescent="0.25">
      <c r="C324" s="24"/>
      <c r="D324" s="24"/>
      <c r="E324" s="24"/>
      <c r="F324" s="24"/>
      <c r="G324" s="24"/>
      <c r="H324" s="5"/>
    </row>
    <row r="325" spans="3:8" ht="14.25" customHeight="1" x14ac:dyDescent="0.25">
      <c r="C325" s="24"/>
      <c r="D325" s="24"/>
      <c r="E325" s="24"/>
      <c r="F325" s="24"/>
      <c r="G325" s="24"/>
      <c r="H325" s="5"/>
    </row>
    <row r="326" spans="3:8" ht="14.25" customHeight="1" x14ac:dyDescent="0.25">
      <c r="C326" s="24"/>
      <c r="D326" s="24"/>
      <c r="E326" s="24"/>
      <c r="F326" s="24"/>
      <c r="G326" s="24"/>
      <c r="H326" s="5"/>
    </row>
    <row r="327" spans="3:8" ht="14.25" customHeight="1" x14ac:dyDescent="0.25">
      <c r="C327" s="24"/>
      <c r="D327" s="24"/>
      <c r="E327" s="24"/>
      <c r="F327" s="24"/>
      <c r="G327" s="24"/>
      <c r="H327" s="5"/>
    </row>
    <row r="328" spans="3:8" ht="14.25" customHeight="1" x14ac:dyDescent="0.25">
      <c r="C328" s="24"/>
      <c r="D328" s="24"/>
      <c r="E328" s="24"/>
      <c r="F328" s="24"/>
      <c r="G328" s="24"/>
      <c r="H328" s="5"/>
    </row>
    <row r="329" spans="3:8" ht="14.25" customHeight="1" x14ac:dyDescent="0.25">
      <c r="C329" s="24"/>
      <c r="D329" s="24"/>
      <c r="E329" s="24"/>
      <c r="F329" s="24"/>
      <c r="G329" s="24"/>
      <c r="H329" s="5"/>
    </row>
    <row r="330" spans="3:8" ht="14.25" customHeight="1" x14ac:dyDescent="0.25">
      <c r="C330" s="24"/>
      <c r="D330" s="24"/>
      <c r="E330" s="24"/>
      <c r="F330" s="24"/>
      <c r="G330" s="24"/>
      <c r="H330" s="5"/>
    </row>
    <row r="331" spans="3:8" ht="14.25" customHeight="1" x14ac:dyDescent="0.25">
      <c r="C331" s="24"/>
      <c r="D331" s="24"/>
      <c r="E331" s="24"/>
      <c r="F331" s="24"/>
      <c r="G331" s="24"/>
      <c r="H331" s="5"/>
    </row>
    <row r="332" spans="3:8" ht="14.25" customHeight="1" x14ac:dyDescent="0.25">
      <c r="C332" s="24"/>
      <c r="D332" s="24"/>
      <c r="E332" s="24"/>
      <c r="F332" s="24"/>
      <c r="G332" s="24"/>
      <c r="H332" s="5"/>
    </row>
    <row r="333" spans="3:8" ht="14.25" customHeight="1" x14ac:dyDescent="0.25">
      <c r="C333" s="24"/>
      <c r="D333" s="24"/>
      <c r="E333" s="24"/>
      <c r="F333" s="24"/>
      <c r="G333" s="24"/>
      <c r="H333" s="5"/>
    </row>
    <row r="334" spans="3:8" ht="14.25" customHeight="1" x14ac:dyDescent="0.25">
      <c r="C334" s="24"/>
      <c r="D334" s="24"/>
      <c r="E334" s="24"/>
      <c r="F334" s="24"/>
      <c r="G334" s="24"/>
      <c r="H334" s="5"/>
    </row>
    <row r="335" spans="3:8" ht="14.25" customHeight="1" x14ac:dyDescent="0.25">
      <c r="C335" s="24"/>
      <c r="D335" s="24"/>
      <c r="E335" s="24"/>
      <c r="F335" s="24"/>
      <c r="G335" s="24"/>
      <c r="H335" s="5"/>
    </row>
    <row r="336" spans="3:8" ht="14.25" customHeight="1" x14ac:dyDescent="0.25">
      <c r="C336" s="24"/>
      <c r="D336" s="24"/>
      <c r="E336" s="24"/>
      <c r="F336" s="24"/>
      <c r="G336" s="24"/>
      <c r="H336" s="5"/>
    </row>
    <row r="337" spans="2:19" ht="14.25" customHeight="1" x14ac:dyDescent="0.25">
      <c r="C337" s="24"/>
      <c r="D337" s="24"/>
      <c r="E337" s="24"/>
      <c r="F337" s="24"/>
      <c r="G337" s="24"/>
      <c r="H337" s="5"/>
    </row>
    <row r="338" spans="2:19" ht="14.25" customHeight="1" x14ac:dyDescent="0.25">
      <c r="C338" s="24"/>
      <c r="D338" s="24"/>
      <c r="E338" s="24"/>
      <c r="F338" s="24"/>
      <c r="G338" s="24"/>
      <c r="H338" s="5"/>
    </row>
    <row r="339" spans="2:19" ht="14.25" customHeight="1" x14ac:dyDescent="0.25">
      <c r="C339" s="24"/>
      <c r="D339" s="24"/>
      <c r="E339" s="24"/>
      <c r="F339" s="24"/>
      <c r="G339" s="24"/>
      <c r="H339" s="5"/>
    </row>
    <row r="340" spans="2:19" ht="14.25" customHeight="1" x14ac:dyDescent="0.25">
      <c r="C340" s="24"/>
      <c r="D340" s="24"/>
      <c r="E340" s="24"/>
      <c r="F340" s="24"/>
      <c r="G340" s="24"/>
      <c r="H340" s="5"/>
    </row>
    <row r="341" spans="2:19" ht="14.25" customHeight="1" x14ac:dyDescent="0.25">
      <c r="C341" s="24"/>
      <c r="D341" s="24"/>
      <c r="E341" s="24"/>
      <c r="F341" s="24"/>
      <c r="G341" s="24"/>
      <c r="H341" s="5"/>
    </row>
    <row r="342" spans="2:19" ht="14.25" customHeight="1" x14ac:dyDescent="0.25">
      <c r="C342" s="24"/>
      <c r="D342" s="24"/>
      <c r="E342" s="24"/>
      <c r="F342" s="24"/>
      <c r="G342" s="24"/>
      <c r="H342" s="5"/>
    </row>
    <row r="343" spans="2:19" ht="14.25" customHeight="1" x14ac:dyDescent="0.25">
      <c r="C343" s="24"/>
      <c r="D343" s="24"/>
      <c r="E343" s="24"/>
      <c r="F343" s="24"/>
      <c r="G343" s="24"/>
      <c r="H343" s="5"/>
    </row>
    <row r="344" spans="2:19" ht="14.25" customHeight="1" x14ac:dyDescent="0.25">
      <c r="C344" s="24"/>
      <c r="D344" s="24"/>
      <c r="E344" s="24"/>
      <c r="F344" s="24"/>
      <c r="G344" s="24"/>
      <c r="H344" s="5"/>
    </row>
    <row r="345" spans="2:19" ht="14.25" customHeight="1" x14ac:dyDescent="0.25">
      <c r="C345" s="24"/>
      <c r="D345" s="24"/>
      <c r="E345" s="24"/>
      <c r="F345" s="24"/>
      <c r="G345" s="24"/>
      <c r="H345" s="5"/>
    </row>
    <row r="346" spans="2:19" ht="14.25" customHeight="1" x14ac:dyDescent="0.25">
      <c r="C346" s="24"/>
      <c r="D346" s="24"/>
      <c r="E346" s="24"/>
      <c r="F346" s="24"/>
      <c r="G346" s="24"/>
      <c r="H346" s="5"/>
    </row>
    <row r="347" spans="2:19" ht="14.25" customHeight="1" x14ac:dyDescent="0.25">
      <c r="C347" s="24"/>
      <c r="D347" s="24"/>
      <c r="E347" s="24"/>
      <c r="F347" s="24"/>
      <c r="G347" s="24"/>
      <c r="H347" s="5"/>
    </row>
    <row r="348" spans="2:19" ht="14.25" customHeight="1" x14ac:dyDescent="0.25">
      <c r="C348" s="24"/>
      <c r="D348" s="24"/>
      <c r="E348" s="24"/>
      <c r="F348" s="24"/>
      <c r="G348" s="24"/>
      <c r="H348" s="5"/>
    </row>
    <row r="349" spans="2:19" s="8" customFormat="1" x14ac:dyDescent="0.25">
      <c r="B349" s="321" t="str">
        <f>TITLE!$C$14</f>
        <v>Полотна збірні: ECO-MILANO</v>
      </c>
      <c r="C349" s="321"/>
      <c r="D349" s="93"/>
      <c r="E349" s="93"/>
      <c r="F349" s="93"/>
      <c r="G349" s="93"/>
      <c r="H349" s="322"/>
      <c r="I349" s="322"/>
      <c r="J349" s="94"/>
      <c r="K349" s="94"/>
      <c r="L349" s="94"/>
      <c r="M349" s="94"/>
      <c r="N349" s="94"/>
      <c r="O349" s="94"/>
      <c r="P349" s="323"/>
      <c r="Q349" s="323"/>
      <c r="R349" s="323"/>
      <c r="S349" s="323"/>
    </row>
    <row r="350" spans="2:19" s="8" customFormat="1" ht="5.0999999999999996" customHeight="1" x14ac:dyDescent="0.25">
      <c r="B350" s="92"/>
      <c r="C350" s="92"/>
      <c r="D350" s="9"/>
      <c r="E350" s="9"/>
      <c r="F350" s="10"/>
      <c r="G350" s="10"/>
      <c r="H350" s="109"/>
      <c r="I350" s="109"/>
      <c r="J350" s="1"/>
      <c r="K350" s="1"/>
      <c r="P350" s="88"/>
      <c r="Q350" s="88"/>
      <c r="R350" s="88"/>
      <c r="S350" s="88"/>
    </row>
    <row r="351" spans="2:19" s="8" customFormat="1" ht="12.75" customHeight="1" x14ac:dyDescent="0.25">
      <c r="B351" s="324" t="str">
        <f>IF($C$1="ENG","model","модель")</f>
        <v>модель</v>
      </c>
      <c r="C351" s="95" t="str">
        <f>IF($C$1="ENG","cover:","покриття:")</f>
        <v>покриття:</v>
      </c>
      <c r="D351" s="327" t="str">
        <f>IF($C$1="ENG","ECO-CELL","ECO-CELL")</f>
        <v>ECO-CELL</v>
      </c>
      <c r="E351" s="328"/>
      <c r="F351" s="327" t="str">
        <f>IF($C$1="ENG","ECO-RESIST","ECO-RESIST")</f>
        <v>ECO-RESIST</v>
      </c>
      <c r="G351" s="328"/>
      <c r="H351" s="35"/>
      <c r="I351" s="35"/>
      <c r="J351" s="35"/>
      <c r="K351" s="35"/>
      <c r="P351" s="88"/>
      <c r="Q351" s="88"/>
      <c r="R351" s="88"/>
      <c r="S351" s="88"/>
    </row>
    <row r="352" spans="2:19" s="8" customFormat="1" x14ac:dyDescent="0.25">
      <c r="B352" s="325"/>
      <c r="C352" s="96" t="str">
        <f>IF($C$1="ENG","filling:","заповнення:")</f>
        <v>заповнення:</v>
      </c>
      <c r="D352" s="329" t="str">
        <f>IF($C$1="ENG","MDF","MDF")</f>
        <v>MDF</v>
      </c>
      <c r="E352" s="330"/>
      <c r="F352" s="329" t="str">
        <f>IF($C$1="ENG","MDF","MDF")</f>
        <v>MDF</v>
      </c>
      <c r="G352" s="330"/>
      <c r="H352" s="36"/>
      <c r="I352" s="36"/>
      <c r="J352" s="36"/>
      <c r="K352" s="36"/>
      <c r="N352" s="11"/>
      <c r="O352" s="11"/>
      <c r="P352" s="11"/>
      <c r="Q352" s="88"/>
      <c r="R352" s="88"/>
      <c r="S352" s="88"/>
    </row>
    <row r="353" spans="1:28" ht="12.75" customHeight="1" x14ac:dyDescent="0.25">
      <c r="A353" s="8"/>
      <c r="B353" s="326"/>
      <c r="C353" s="97" t="str">
        <f>IF($C$1="ENG","glazing:","скління:")</f>
        <v>скління:</v>
      </c>
      <c r="D353" s="331" t="str">
        <f>IF($C$1="ENG","Satin","Сатин")</f>
        <v>Сатин</v>
      </c>
      <c r="E353" s="332"/>
      <c r="F353" s="331" t="str">
        <f>IF($C$1="ENG","Satin","Сатин")</f>
        <v>Сатин</v>
      </c>
      <c r="G353" s="332"/>
      <c r="H353" s="36"/>
      <c r="I353" s="36"/>
      <c r="J353" s="36"/>
      <c r="K353" s="36"/>
      <c r="L353" s="11"/>
      <c r="M353" s="11"/>
      <c r="N353" s="11"/>
      <c r="O353" s="11"/>
      <c r="P353" s="11"/>
    </row>
    <row r="354" spans="1:28" ht="35.1" customHeight="1" x14ac:dyDescent="0.25">
      <c r="A354" s="8"/>
      <c r="B354" s="13" t="s">
        <v>8</v>
      </c>
      <c r="C354" s="14"/>
      <c r="D354" s="15">
        <f t="shared" ref="D354:D366" si="29">IF(U354="","",(1-$S$2)*(U354/1.2))</f>
        <v>4391.666666666667</v>
      </c>
      <c r="E354" s="54">
        <f t="shared" ref="E354:E366" si="30">IF($S$5=0.2,D354*1.2,D354)/$S$4</f>
        <v>5270</v>
      </c>
      <c r="F354" s="15">
        <f>IF(V354="","",(1-$S$2)*(V354/1.2))</f>
        <v>5091.666666666667</v>
      </c>
      <c r="G354" s="54">
        <f t="shared" ref="G354:G366" si="31">IF($S$5=0.2,F354*1.2,F354)/$S$4</f>
        <v>6110</v>
      </c>
      <c r="H354" s="26"/>
      <c r="I354" s="49"/>
      <c r="J354" s="26"/>
      <c r="K354" s="49"/>
      <c r="L354" s="80"/>
      <c r="M354" s="20"/>
      <c r="N354" s="80"/>
      <c r="O354" s="20"/>
      <c r="P354" s="80"/>
      <c r="Q354" s="20"/>
      <c r="R354" s="80"/>
      <c r="S354" s="20"/>
      <c r="U354" s="286">
        <v>5270</v>
      </c>
      <c r="V354" s="286">
        <v>6110</v>
      </c>
      <c r="W354" s="286"/>
      <c r="X354" s="286"/>
      <c r="Y354" s="286"/>
      <c r="Z354" s="286"/>
      <c r="AA354" s="286"/>
      <c r="AB354" s="286"/>
    </row>
    <row r="355" spans="1:28" ht="35.1" customHeight="1" x14ac:dyDescent="0.25">
      <c r="A355" s="8"/>
      <c r="B355" s="16" t="s">
        <v>9</v>
      </c>
      <c r="C355" s="17"/>
      <c r="D355" s="18">
        <f t="shared" si="29"/>
        <v>4391.666666666667</v>
      </c>
      <c r="E355" s="56">
        <f t="shared" si="30"/>
        <v>5270</v>
      </c>
      <c r="F355" s="15">
        <f t="shared" ref="F355:F366" si="32">IF(V355="","",(1-$S$2)*(V355/1.2))</f>
        <v>5091.666666666667</v>
      </c>
      <c r="G355" s="56">
        <f t="shared" si="31"/>
        <v>6110</v>
      </c>
      <c r="H355" s="26"/>
      <c r="I355" s="49"/>
      <c r="J355" s="26"/>
      <c r="K355" s="49"/>
      <c r="L355" s="80"/>
      <c r="M355" s="20"/>
      <c r="N355" s="80"/>
      <c r="O355" s="20"/>
      <c r="P355" s="80"/>
      <c r="Q355" s="20"/>
      <c r="R355" s="80"/>
      <c r="S355" s="20"/>
      <c r="U355" s="286">
        <v>5270</v>
      </c>
      <c r="V355" s="286">
        <v>6110</v>
      </c>
      <c r="W355" s="286"/>
      <c r="X355" s="286"/>
      <c r="Y355" s="286"/>
      <c r="Z355" s="286"/>
      <c r="AA355" s="286"/>
      <c r="AB355" s="286"/>
    </row>
    <row r="356" spans="1:28" ht="35.1" customHeight="1" x14ac:dyDescent="0.25">
      <c r="A356" s="8"/>
      <c r="B356" s="16" t="s">
        <v>10</v>
      </c>
      <c r="C356" s="17"/>
      <c r="D356" s="18">
        <f t="shared" si="29"/>
        <v>4391.666666666667</v>
      </c>
      <c r="E356" s="56">
        <f t="shared" si="30"/>
        <v>5270</v>
      </c>
      <c r="F356" s="15">
        <f t="shared" si="32"/>
        <v>5091.666666666667</v>
      </c>
      <c r="G356" s="56">
        <f t="shared" si="31"/>
        <v>6110</v>
      </c>
      <c r="H356" s="26"/>
      <c r="I356" s="49"/>
      <c r="J356" s="26"/>
      <c r="K356" s="49"/>
      <c r="L356" s="80"/>
      <c r="M356" s="20"/>
      <c r="N356" s="80"/>
      <c r="O356" s="20"/>
      <c r="P356" s="80"/>
      <c r="Q356" s="20"/>
      <c r="R356" s="80"/>
      <c r="S356" s="20"/>
      <c r="U356" s="286">
        <v>5270</v>
      </c>
      <c r="V356" s="286">
        <v>6110</v>
      </c>
      <c r="W356" s="286"/>
      <c r="X356" s="286"/>
      <c r="Y356" s="286"/>
      <c r="Z356" s="286"/>
      <c r="AA356" s="286"/>
      <c r="AB356" s="286"/>
    </row>
    <row r="357" spans="1:28" ht="35.1" customHeight="1" x14ac:dyDescent="0.25">
      <c r="A357" s="8"/>
      <c r="B357" s="16" t="s">
        <v>11</v>
      </c>
      <c r="C357" s="17"/>
      <c r="D357" s="18">
        <f t="shared" si="29"/>
        <v>4391.666666666667</v>
      </c>
      <c r="E357" s="56">
        <f t="shared" si="30"/>
        <v>5270</v>
      </c>
      <c r="F357" s="15">
        <f t="shared" si="32"/>
        <v>5091.666666666667</v>
      </c>
      <c r="G357" s="56">
        <f t="shared" si="31"/>
        <v>6110</v>
      </c>
      <c r="H357" s="26"/>
      <c r="I357" s="49"/>
      <c r="J357" s="26"/>
      <c r="K357" s="49"/>
      <c r="L357" s="80"/>
      <c r="M357" s="20"/>
      <c r="N357" s="80"/>
      <c r="O357" s="20"/>
      <c r="P357" s="80"/>
      <c r="Q357" s="20"/>
      <c r="R357" s="80"/>
      <c r="S357" s="20"/>
      <c r="U357" s="286">
        <v>5270</v>
      </c>
      <c r="V357" s="286">
        <v>6110</v>
      </c>
      <c r="W357" s="286"/>
      <c r="X357" s="286"/>
      <c r="Y357" s="286"/>
      <c r="Z357" s="286"/>
      <c r="AA357" s="286"/>
      <c r="AB357" s="286"/>
    </row>
    <row r="358" spans="1:28" ht="35.1" customHeight="1" x14ac:dyDescent="0.25">
      <c r="A358" s="8"/>
      <c r="B358" s="16" t="s">
        <v>12</v>
      </c>
      <c r="C358" s="17"/>
      <c r="D358" s="18">
        <f t="shared" si="29"/>
        <v>4391.666666666667</v>
      </c>
      <c r="E358" s="56">
        <f t="shared" si="30"/>
        <v>5270</v>
      </c>
      <c r="F358" s="15">
        <f t="shared" si="32"/>
        <v>5091.666666666667</v>
      </c>
      <c r="G358" s="56">
        <f t="shared" si="31"/>
        <v>6110</v>
      </c>
      <c r="H358" s="26"/>
      <c r="I358" s="49"/>
      <c r="J358" s="26"/>
      <c r="K358" s="49"/>
      <c r="L358" s="80"/>
      <c r="M358" s="20"/>
      <c r="N358" s="80"/>
      <c r="O358" s="20"/>
      <c r="P358" s="80"/>
      <c r="Q358" s="20"/>
      <c r="R358" s="80"/>
      <c r="S358" s="20"/>
      <c r="U358" s="286">
        <v>5270</v>
      </c>
      <c r="V358" s="286">
        <v>6110</v>
      </c>
      <c r="W358" s="286"/>
      <c r="X358" s="286"/>
      <c r="Y358" s="286"/>
      <c r="Z358" s="286"/>
      <c r="AA358" s="286"/>
      <c r="AB358" s="286"/>
    </row>
    <row r="359" spans="1:28" ht="35.1" customHeight="1" x14ac:dyDescent="0.25">
      <c r="A359" s="8"/>
      <c r="B359" s="16" t="s">
        <v>13</v>
      </c>
      <c r="C359" s="17"/>
      <c r="D359" s="18">
        <f t="shared" si="29"/>
        <v>4391.666666666667</v>
      </c>
      <c r="E359" s="56">
        <f t="shared" si="30"/>
        <v>5270</v>
      </c>
      <c r="F359" s="15">
        <f t="shared" si="32"/>
        <v>5091.666666666667</v>
      </c>
      <c r="G359" s="56">
        <f t="shared" si="31"/>
        <v>6110</v>
      </c>
      <c r="H359" s="26"/>
      <c r="I359" s="49"/>
      <c r="J359" s="26"/>
      <c r="K359" s="49"/>
      <c r="L359" s="80"/>
      <c r="M359" s="20"/>
      <c r="N359" s="80"/>
      <c r="O359" s="20"/>
      <c r="P359" s="80"/>
      <c r="Q359" s="20"/>
      <c r="R359" s="80"/>
      <c r="S359" s="20"/>
      <c r="U359" s="286">
        <v>5270</v>
      </c>
      <c r="V359" s="286">
        <v>6110</v>
      </c>
      <c r="W359" s="286"/>
      <c r="X359" s="286"/>
      <c r="Y359" s="286"/>
      <c r="Z359" s="286"/>
      <c r="AA359" s="286"/>
      <c r="AB359" s="286"/>
    </row>
    <row r="360" spans="1:28" ht="35.1" customHeight="1" x14ac:dyDescent="0.25">
      <c r="A360" s="8"/>
      <c r="B360" s="16" t="s">
        <v>14</v>
      </c>
      <c r="C360" s="17"/>
      <c r="D360" s="18">
        <f>IF(U360="","",(1-$S$2)*(U360/1.2))</f>
        <v>4391.666666666667</v>
      </c>
      <c r="E360" s="56">
        <f t="shared" si="30"/>
        <v>5270</v>
      </c>
      <c r="F360" s="15">
        <f t="shared" si="32"/>
        <v>5091.666666666667</v>
      </c>
      <c r="G360" s="56">
        <f t="shared" si="31"/>
        <v>6110</v>
      </c>
      <c r="H360" s="26"/>
      <c r="I360" s="49"/>
      <c r="J360" s="26"/>
      <c r="K360" s="49"/>
      <c r="L360" s="80"/>
      <c r="M360" s="20"/>
      <c r="N360" s="80"/>
      <c r="O360" s="20"/>
      <c r="P360" s="80"/>
      <c r="Q360" s="20"/>
      <c r="R360" s="80"/>
      <c r="S360" s="20"/>
      <c r="U360" s="286">
        <v>5270</v>
      </c>
      <c r="V360" s="286">
        <v>6110</v>
      </c>
      <c r="W360" s="286"/>
      <c r="X360" s="286"/>
      <c r="Y360" s="286"/>
      <c r="Z360" s="286"/>
      <c r="AA360" s="286"/>
      <c r="AB360" s="286"/>
    </row>
    <row r="361" spans="1:28" ht="35.1" customHeight="1" x14ac:dyDescent="0.25">
      <c r="A361" s="8"/>
      <c r="B361" s="16" t="s">
        <v>15</v>
      </c>
      <c r="C361" s="17"/>
      <c r="D361" s="18">
        <f t="shared" si="29"/>
        <v>4391.666666666667</v>
      </c>
      <c r="E361" s="56">
        <f t="shared" si="30"/>
        <v>5270</v>
      </c>
      <c r="F361" s="15">
        <f t="shared" si="32"/>
        <v>5091.666666666667</v>
      </c>
      <c r="G361" s="56">
        <f t="shared" si="31"/>
        <v>6110</v>
      </c>
      <c r="H361" s="26"/>
      <c r="I361" s="49"/>
      <c r="J361" s="26"/>
      <c r="K361" s="49"/>
      <c r="L361" s="80"/>
      <c r="M361" s="20"/>
      <c r="N361" s="80"/>
      <c r="O361" s="20"/>
      <c r="P361" s="80"/>
      <c r="Q361" s="20"/>
      <c r="R361" s="80"/>
      <c r="S361" s="20"/>
      <c r="U361" s="286">
        <v>5270</v>
      </c>
      <c r="V361" s="286">
        <v>6110</v>
      </c>
      <c r="W361" s="286"/>
      <c r="X361" s="286"/>
      <c r="Y361" s="286"/>
      <c r="Z361" s="286"/>
      <c r="AA361" s="286"/>
      <c r="AB361" s="286"/>
    </row>
    <row r="362" spans="1:28" ht="35.1" customHeight="1" x14ac:dyDescent="0.25">
      <c r="A362" s="8"/>
      <c r="B362" s="16" t="s">
        <v>16</v>
      </c>
      <c r="C362" s="279"/>
      <c r="D362" s="18">
        <f t="shared" si="29"/>
        <v>4391.666666666667</v>
      </c>
      <c r="E362" s="56">
        <f t="shared" si="30"/>
        <v>5270</v>
      </c>
      <c r="F362" s="15">
        <f t="shared" si="32"/>
        <v>5091.666666666667</v>
      </c>
      <c r="G362" s="56">
        <f t="shared" si="31"/>
        <v>6110</v>
      </c>
      <c r="H362" s="26"/>
      <c r="I362" s="49"/>
      <c r="J362" s="26"/>
      <c r="K362" s="49"/>
      <c r="L362" s="80"/>
      <c r="M362" s="20"/>
      <c r="N362" s="80"/>
      <c r="O362" s="20"/>
      <c r="P362" s="80"/>
      <c r="Q362" s="20"/>
      <c r="R362" s="80"/>
      <c r="S362" s="20"/>
      <c r="U362" s="286">
        <v>5270</v>
      </c>
      <c r="V362" s="286">
        <v>6110</v>
      </c>
      <c r="W362" s="286"/>
      <c r="X362" s="286"/>
      <c r="Y362" s="286"/>
      <c r="Z362" s="286"/>
      <c r="AA362" s="286"/>
      <c r="AB362" s="286"/>
    </row>
    <row r="363" spans="1:28" ht="35.1" customHeight="1" x14ac:dyDescent="0.25">
      <c r="A363" s="8"/>
      <c r="B363" s="16" t="s">
        <v>43</v>
      </c>
      <c r="C363" s="279"/>
      <c r="D363" s="18">
        <f t="shared" si="29"/>
        <v>4391.666666666667</v>
      </c>
      <c r="E363" s="56">
        <f t="shared" si="30"/>
        <v>5270</v>
      </c>
      <c r="F363" s="15">
        <f t="shared" si="32"/>
        <v>5091.666666666667</v>
      </c>
      <c r="G363" s="56">
        <f t="shared" si="31"/>
        <v>6110</v>
      </c>
      <c r="H363" s="26"/>
      <c r="I363" s="49"/>
      <c r="J363" s="26"/>
      <c r="K363" s="49"/>
      <c r="L363" s="80"/>
      <c r="M363" s="20"/>
      <c r="N363" s="80"/>
      <c r="O363" s="20"/>
      <c r="P363" s="80"/>
      <c r="Q363" s="20"/>
      <c r="R363" s="80"/>
      <c r="S363" s="20"/>
      <c r="U363" s="286">
        <v>5270</v>
      </c>
      <c r="V363" s="286">
        <v>6110</v>
      </c>
      <c r="W363" s="286"/>
      <c r="X363" s="286"/>
      <c r="Y363" s="286"/>
      <c r="Z363" s="286"/>
      <c r="AA363" s="286"/>
      <c r="AB363" s="286"/>
    </row>
    <row r="364" spans="1:28" ht="35.1" customHeight="1" x14ac:dyDescent="0.25">
      <c r="A364" s="8"/>
      <c r="B364" s="16" t="s">
        <v>44</v>
      </c>
      <c r="C364" s="279"/>
      <c r="D364" s="18">
        <f t="shared" si="29"/>
        <v>4391.666666666667</v>
      </c>
      <c r="E364" s="56">
        <f t="shared" si="30"/>
        <v>5270</v>
      </c>
      <c r="F364" s="15">
        <f t="shared" si="32"/>
        <v>5091.666666666667</v>
      </c>
      <c r="G364" s="56">
        <f t="shared" si="31"/>
        <v>6110</v>
      </c>
      <c r="H364" s="26"/>
      <c r="I364" s="49"/>
      <c r="J364" s="26"/>
      <c r="K364" s="49"/>
      <c r="L364" s="80"/>
      <c r="M364" s="20"/>
      <c r="N364" s="80"/>
      <c r="O364" s="20"/>
      <c r="P364" s="80"/>
      <c r="Q364" s="20"/>
      <c r="R364" s="80"/>
      <c r="S364" s="20"/>
      <c r="U364" s="286">
        <v>5270</v>
      </c>
      <c r="V364" s="286">
        <v>6110</v>
      </c>
      <c r="W364" s="286"/>
      <c r="X364" s="286"/>
      <c r="Y364" s="286"/>
      <c r="Z364" s="286"/>
      <c r="AA364" s="286"/>
      <c r="AB364" s="286"/>
    </row>
    <row r="365" spans="1:28" ht="35.1" customHeight="1" x14ac:dyDescent="0.25">
      <c r="A365" s="8"/>
      <c r="B365" s="16" t="s">
        <v>45</v>
      </c>
      <c r="C365" s="279"/>
      <c r="D365" s="18">
        <f t="shared" si="29"/>
        <v>4391.666666666667</v>
      </c>
      <c r="E365" s="56">
        <f t="shared" si="30"/>
        <v>5270</v>
      </c>
      <c r="F365" s="15">
        <f t="shared" si="32"/>
        <v>5091.666666666667</v>
      </c>
      <c r="G365" s="56">
        <f t="shared" si="31"/>
        <v>6110</v>
      </c>
      <c r="H365" s="26"/>
      <c r="I365" s="49"/>
      <c r="J365" s="26"/>
      <c r="K365" s="49"/>
      <c r="L365" s="80"/>
      <c r="M365" s="20"/>
      <c r="N365" s="80"/>
      <c r="O365" s="20"/>
      <c r="P365" s="80"/>
      <c r="Q365" s="20"/>
      <c r="R365" s="80"/>
      <c r="S365" s="20"/>
      <c r="U365" s="286">
        <v>5270</v>
      </c>
      <c r="V365" s="286">
        <v>6110</v>
      </c>
      <c r="W365" s="286"/>
      <c r="X365" s="286"/>
      <c r="Y365" s="286"/>
      <c r="Z365" s="286"/>
      <c r="AA365" s="286"/>
      <c r="AB365" s="286"/>
    </row>
    <row r="366" spans="1:28" ht="35.1" customHeight="1" x14ac:dyDescent="0.25">
      <c r="A366" s="8"/>
      <c r="B366" s="21" t="s">
        <v>46</v>
      </c>
      <c r="C366" s="22"/>
      <c r="D366" s="23">
        <f t="shared" si="29"/>
        <v>4391.666666666667</v>
      </c>
      <c r="E366" s="59">
        <f t="shared" si="30"/>
        <v>5270</v>
      </c>
      <c r="F366" s="15">
        <f t="shared" si="32"/>
        <v>5091.666666666667</v>
      </c>
      <c r="G366" s="59">
        <f t="shared" si="31"/>
        <v>6110</v>
      </c>
      <c r="H366" s="26"/>
      <c r="I366" s="49"/>
      <c r="J366" s="26"/>
      <c r="K366" s="49"/>
      <c r="L366" s="80"/>
      <c r="M366" s="20"/>
      <c r="N366" s="80"/>
      <c r="O366" s="20"/>
      <c r="P366" s="80"/>
      <c r="Q366" s="20"/>
      <c r="R366" s="80"/>
      <c r="S366" s="20"/>
      <c r="U366" s="286">
        <v>5270</v>
      </c>
      <c r="V366" s="286">
        <v>6110</v>
      </c>
      <c r="W366" s="286"/>
      <c r="X366" s="286"/>
      <c r="Y366" s="286"/>
      <c r="Z366" s="286"/>
      <c r="AA366" s="286"/>
      <c r="AB366" s="286"/>
    </row>
    <row r="367" spans="1:28" x14ac:dyDescent="0.25">
      <c r="C367" s="24"/>
      <c r="D367" s="24"/>
      <c r="E367" s="46"/>
      <c r="F367" s="24"/>
      <c r="G367" s="46"/>
      <c r="H367" s="5"/>
    </row>
    <row r="368" spans="1:28" x14ac:dyDescent="0.25">
      <c r="B368" s="155" t="str">
        <f>IF($C$1="ENG","For additonal charge:","Послуги за додаткову плату:")</f>
        <v>Послуги за додаткову плату:</v>
      </c>
      <c r="C368" s="156"/>
      <c r="D368" s="156"/>
      <c r="E368" s="157"/>
      <c r="F368" s="24"/>
      <c r="G368" s="46"/>
      <c r="H368" s="10"/>
      <c r="I368" s="8"/>
      <c r="J368" s="8"/>
      <c r="K368" s="8"/>
    </row>
    <row r="369" spans="2:28" ht="5.0999999999999996" customHeight="1" x14ac:dyDescent="0.25">
      <c r="B369" s="25"/>
      <c r="C369" s="24"/>
      <c r="D369" s="24"/>
      <c r="E369" s="46"/>
      <c r="F369" s="24"/>
      <c r="G369" s="24"/>
      <c r="H369" s="10"/>
      <c r="I369" s="8"/>
      <c r="J369" s="8"/>
      <c r="K369" s="8"/>
    </row>
    <row r="370" spans="2:28" x14ac:dyDescent="0.25">
      <c r="B370" s="317" t="str">
        <f>IF($C$1="ENG","door leaf with width 100","полотно розміром 100")</f>
        <v>полотно розміром 100</v>
      </c>
      <c r="C370" s="318"/>
      <c r="D370" s="100">
        <f t="shared" ref="D370:D376" si="33">IF(U370="","",(1-$S$2)*(U370/1.2))</f>
        <v>708.33333333333337</v>
      </c>
      <c r="E370" s="73">
        <f>IF($S$5=0.2,D370*1.2,D370)/$S$4</f>
        <v>850</v>
      </c>
      <c r="F370" s="24"/>
      <c r="G370" s="24"/>
      <c r="H370" s="10"/>
      <c r="I370" s="8"/>
      <c r="J370" s="8"/>
      <c r="K370" s="8"/>
      <c r="U370" s="286">
        <v>850</v>
      </c>
      <c r="V370" s="286"/>
      <c r="W370" s="286"/>
      <c r="X370" s="286"/>
      <c r="Y370" s="286"/>
      <c r="Z370" s="286"/>
      <c r="AA370" s="286"/>
      <c r="AB370" s="286"/>
    </row>
    <row r="371" spans="2:28" x14ac:dyDescent="0.25">
      <c r="B371" s="319" t="str">
        <f>IF($C$1="ENG","Ventilation sleeves (1 row)","вентиляційні віддушини (1 ряд)")</f>
        <v>вентиляційні віддушини (1 ряд)</v>
      </c>
      <c r="C371" s="320"/>
      <c r="D371" s="101">
        <f t="shared" si="33"/>
        <v>241.66666666666669</v>
      </c>
      <c r="E371" s="74">
        <f>IF($S$5=0.2,D371*1.2,D371)/$S$4</f>
        <v>290</v>
      </c>
      <c r="F371" s="24"/>
      <c r="G371" s="24"/>
      <c r="I371" s="11"/>
      <c r="J371" s="11"/>
      <c r="K371" s="11"/>
      <c r="U371" s="286">
        <v>290</v>
      </c>
      <c r="V371" s="286"/>
      <c r="W371" s="286"/>
      <c r="X371" s="286"/>
      <c r="Y371" s="286"/>
      <c r="Z371" s="286"/>
      <c r="AA371" s="286"/>
      <c r="AB371" s="286"/>
    </row>
    <row r="372" spans="2:28" x14ac:dyDescent="0.25">
      <c r="B372" s="319" t="str">
        <f>IF($C$1="ENG","Ventilation undercut","вентиляційний підріз")</f>
        <v>вентиляційний підріз</v>
      </c>
      <c r="C372" s="320"/>
      <c r="D372" s="79">
        <f t="shared" si="33"/>
        <v>162.5</v>
      </c>
      <c r="E372" s="74">
        <f>IF($S$5=0.2,D372*1.2,D372)/$S$4</f>
        <v>195</v>
      </c>
      <c r="F372" s="24"/>
      <c r="G372" s="24"/>
      <c r="H372" s="5"/>
      <c r="U372" s="286">
        <v>195</v>
      </c>
      <c r="V372" s="286"/>
      <c r="W372" s="286"/>
      <c r="X372" s="286"/>
      <c r="Y372" s="286"/>
      <c r="Z372" s="286"/>
      <c r="AA372" s="286"/>
      <c r="AB372" s="286"/>
    </row>
    <row r="373" spans="2:28" x14ac:dyDescent="0.25">
      <c r="B373" s="319" t="str">
        <f>IF($C$1="ENG","lacobel glass is black","скло lacobel чорне")</f>
        <v>скло lacobel чорне</v>
      </c>
      <c r="C373" s="320"/>
      <c r="D373" s="79">
        <f t="shared" si="33"/>
        <v>433.33333333333337</v>
      </c>
      <c r="E373" s="74">
        <f t="shared" ref="E373" si="34">IF($S$5=0.2,D373*1.2,D373)/$S$4</f>
        <v>520</v>
      </c>
      <c r="F373" s="24"/>
      <c r="G373" s="33"/>
      <c r="H373" s="291"/>
      <c r="U373" s="286">
        <v>520</v>
      </c>
      <c r="V373" s="286"/>
      <c r="W373" s="286"/>
      <c r="X373" s="286"/>
      <c r="Y373" s="286"/>
      <c r="Z373" s="286"/>
      <c r="AA373" s="286"/>
      <c r="AB373" s="286"/>
    </row>
    <row r="374" spans="2:28" x14ac:dyDescent="0.25">
      <c r="B374" s="319" t="str">
        <f>IF($C$1="ENG","door handle-lock (for sliding doors)","ручка-замок (для дверей купе)")</f>
        <v>ручка-замок (для дверей купе)</v>
      </c>
      <c r="C374" s="320"/>
      <c r="D374" s="101">
        <f t="shared" si="33"/>
        <v>533.33333333333337</v>
      </c>
      <c r="E374" s="74">
        <f>IF($S$5=0.2,D374*1.2,D374)/$S$4</f>
        <v>640</v>
      </c>
      <c r="F374" s="24"/>
      <c r="G374" s="24"/>
      <c r="I374" s="11"/>
      <c r="J374" s="11"/>
      <c r="K374" s="19"/>
      <c r="U374" s="286">
        <v>640</v>
      </c>
      <c r="V374" s="286"/>
      <c r="W374" s="286"/>
      <c r="X374" s="286"/>
      <c r="Y374" s="286"/>
      <c r="Z374" s="286"/>
      <c r="AA374" s="286"/>
      <c r="AB374" s="286"/>
    </row>
    <row r="375" spans="2:28" x14ac:dyDescent="0.25">
      <c r="B375" s="319" t="str">
        <f>IF($C$1="ENG","door hinge caps (1 set)","накладка на завіси (1 к-т)")</f>
        <v>накладка на завіси (1 к-т)</v>
      </c>
      <c r="C375" s="320"/>
      <c r="D375" s="103">
        <f t="shared" si="33"/>
        <v>75</v>
      </c>
      <c r="E375" s="74">
        <f>IF($S$5=0.2,D375*1.2,D375)/$S$4</f>
        <v>90</v>
      </c>
      <c r="F375" s="24"/>
      <c r="G375" s="24"/>
      <c r="U375" s="286">
        <v>90</v>
      </c>
      <c r="V375" s="286"/>
      <c r="W375" s="286"/>
      <c r="X375" s="286"/>
      <c r="Y375" s="286"/>
      <c r="Z375" s="286"/>
      <c r="AA375" s="286"/>
      <c r="AB375" s="286"/>
    </row>
    <row r="376" spans="2:28" x14ac:dyDescent="0.25">
      <c r="B376" s="319" t="str">
        <f>IF($C$1="ENG","door handle","дверна ручка")</f>
        <v>дверна ручка</v>
      </c>
      <c r="C376" s="320"/>
      <c r="D376" s="102" t="str">
        <f t="shared" si="33"/>
        <v/>
      </c>
      <c r="E376" s="180" t="str">
        <f>IF($C$1="ENG","see Handles Price","див.Таблицю Ручки")</f>
        <v>див.Таблицю Ручки</v>
      </c>
      <c r="F376" s="24"/>
      <c r="G376" s="24"/>
      <c r="U376" s="286"/>
      <c r="V376" s="286"/>
      <c r="W376" s="286"/>
      <c r="X376" s="286"/>
      <c r="Y376" s="286"/>
      <c r="Z376" s="286"/>
      <c r="AA376" s="286"/>
      <c r="AB376" s="286"/>
    </row>
    <row r="377" spans="2:28" ht="14.25" customHeight="1" x14ac:dyDescent="0.25">
      <c r="C377" s="24"/>
      <c r="D377" s="24"/>
      <c r="E377" s="24"/>
      <c r="F377" s="24"/>
      <c r="G377" s="24"/>
      <c r="H377" s="5"/>
      <c r="P377" s="333" t="str">
        <f>IF($C$1="ENG",CONCATENATE("down to: ",B349),CONCATENATE("вниз до: ",B349))</f>
        <v>вниз до: Полотна збірні: ECO-MILANO</v>
      </c>
      <c r="Q377" s="333"/>
      <c r="R377" s="333"/>
      <c r="S377" s="333"/>
    </row>
    <row r="378" spans="2:28" ht="14.25" customHeight="1" x14ac:dyDescent="0.25">
      <c r="C378" s="24"/>
      <c r="D378" s="24"/>
      <c r="E378" s="24"/>
      <c r="F378" s="24"/>
      <c r="G378" s="24"/>
      <c r="H378" s="5"/>
    </row>
    <row r="379" spans="2:28" ht="14.25" customHeight="1" x14ac:dyDescent="0.25">
      <c r="C379" s="24"/>
      <c r="D379" s="24"/>
      <c r="E379" s="24"/>
      <c r="F379" s="24"/>
      <c r="G379" s="24"/>
      <c r="H379" s="5"/>
    </row>
    <row r="380" spans="2:28" ht="14.25" customHeight="1" x14ac:dyDescent="0.25">
      <c r="C380" s="24"/>
      <c r="D380" s="24"/>
      <c r="E380" s="24"/>
      <c r="F380" s="24"/>
      <c r="G380" s="24"/>
      <c r="H380" s="5"/>
    </row>
    <row r="381" spans="2:28" ht="14.25" customHeight="1" x14ac:dyDescent="0.25">
      <c r="C381" s="24"/>
      <c r="D381" s="24"/>
      <c r="E381" s="24"/>
      <c r="F381" s="24"/>
      <c r="G381" s="24"/>
      <c r="H381" s="5"/>
    </row>
    <row r="382" spans="2:28" ht="14.25" customHeight="1" x14ac:dyDescent="0.25">
      <c r="C382" s="24"/>
      <c r="D382" s="24"/>
      <c r="E382" s="24"/>
      <c r="F382" s="24"/>
      <c r="G382" s="24"/>
      <c r="H382" s="5"/>
    </row>
    <row r="383" spans="2:28" ht="14.25" customHeight="1" x14ac:dyDescent="0.25">
      <c r="C383" s="24"/>
      <c r="D383" s="24"/>
      <c r="E383" s="24"/>
      <c r="F383" s="24"/>
      <c r="G383" s="24"/>
      <c r="H383" s="5"/>
    </row>
    <row r="384" spans="2:28" ht="14.25" customHeight="1" x14ac:dyDescent="0.25">
      <c r="C384" s="24"/>
      <c r="D384" s="24"/>
      <c r="E384" s="24"/>
      <c r="F384" s="24"/>
      <c r="G384" s="24"/>
      <c r="H384" s="5"/>
    </row>
    <row r="385" spans="3:8" ht="14.25" customHeight="1" x14ac:dyDescent="0.25">
      <c r="C385" s="24"/>
      <c r="D385" s="24"/>
      <c r="E385" s="24"/>
      <c r="F385" s="24"/>
      <c r="G385" s="24"/>
      <c r="H385" s="5"/>
    </row>
    <row r="386" spans="3:8" ht="14.25" customHeight="1" x14ac:dyDescent="0.25">
      <c r="C386" s="24"/>
      <c r="D386" s="24"/>
      <c r="E386" s="24"/>
      <c r="F386" s="24"/>
      <c r="G386" s="24"/>
      <c r="H386" s="5"/>
    </row>
    <row r="387" spans="3:8" ht="14.25" customHeight="1" x14ac:dyDescent="0.25">
      <c r="C387" s="24"/>
      <c r="D387" s="24"/>
      <c r="E387" s="24"/>
      <c r="F387" s="24"/>
      <c r="G387" s="24"/>
      <c r="H387" s="5"/>
    </row>
    <row r="388" spans="3:8" ht="14.25" customHeight="1" x14ac:dyDescent="0.25">
      <c r="C388" s="24"/>
      <c r="D388" s="24"/>
      <c r="E388" s="24"/>
      <c r="F388" s="24"/>
      <c r="G388" s="24"/>
      <c r="H388" s="5"/>
    </row>
    <row r="389" spans="3:8" ht="14.25" customHeight="1" x14ac:dyDescent="0.25">
      <c r="C389" s="24"/>
      <c r="D389" s="24"/>
      <c r="E389" s="24"/>
      <c r="F389" s="24"/>
      <c r="G389" s="24"/>
      <c r="H389" s="5"/>
    </row>
    <row r="390" spans="3:8" ht="14.25" customHeight="1" x14ac:dyDescent="0.25">
      <c r="C390" s="24"/>
      <c r="D390" s="24"/>
      <c r="E390" s="24"/>
      <c r="F390" s="24"/>
      <c r="G390" s="24"/>
      <c r="H390" s="5"/>
    </row>
    <row r="391" spans="3:8" ht="14.25" customHeight="1" x14ac:dyDescent="0.25">
      <c r="C391" s="24"/>
      <c r="D391" s="24"/>
      <c r="E391" s="24"/>
      <c r="F391" s="24"/>
      <c r="G391" s="24"/>
      <c r="H391" s="5"/>
    </row>
    <row r="392" spans="3:8" ht="14.25" customHeight="1" x14ac:dyDescent="0.25">
      <c r="C392" s="24"/>
      <c r="D392" s="24"/>
      <c r="E392" s="24"/>
      <c r="F392" s="24"/>
      <c r="G392" s="24"/>
      <c r="H392" s="5"/>
    </row>
    <row r="393" spans="3:8" ht="14.25" customHeight="1" x14ac:dyDescent="0.25">
      <c r="C393" s="24"/>
      <c r="D393" s="24"/>
      <c r="E393" s="24"/>
      <c r="F393" s="24"/>
      <c r="G393" s="24"/>
      <c r="H393" s="5"/>
    </row>
    <row r="394" spans="3:8" ht="14.25" customHeight="1" x14ac:dyDescent="0.25">
      <c r="C394" s="24"/>
      <c r="D394" s="24"/>
      <c r="E394" s="24"/>
      <c r="F394" s="24"/>
      <c r="G394" s="24"/>
      <c r="H394" s="5"/>
    </row>
    <row r="395" spans="3:8" ht="14.25" customHeight="1" x14ac:dyDescent="0.25">
      <c r="C395" s="24"/>
      <c r="D395" s="24"/>
      <c r="E395" s="24"/>
      <c r="F395" s="24"/>
      <c r="G395" s="24"/>
      <c r="H395" s="5"/>
    </row>
    <row r="396" spans="3:8" ht="14.25" customHeight="1" x14ac:dyDescent="0.25">
      <c r="C396" s="24"/>
      <c r="D396" s="24"/>
      <c r="E396" s="24"/>
      <c r="F396" s="24"/>
      <c r="G396" s="24"/>
      <c r="H396" s="5"/>
    </row>
    <row r="397" spans="3:8" ht="14.25" customHeight="1" x14ac:dyDescent="0.25">
      <c r="C397" s="24"/>
      <c r="D397" s="24"/>
      <c r="E397" s="24"/>
      <c r="F397" s="24"/>
      <c r="G397" s="24"/>
      <c r="H397" s="5"/>
    </row>
    <row r="398" spans="3:8" ht="14.25" customHeight="1" x14ac:dyDescent="0.25">
      <c r="C398" s="24"/>
      <c r="D398" s="24"/>
      <c r="E398" s="24"/>
      <c r="F398" s="24"/>
      <c r="G398" s="24"/>
      <c r="H398" s="5"/>
    </row>
    <row r="399" spans="3:8" ht="14.25" customHeight="1" x14ac:dyDescent="0.25">
      <c r="C399" s="24"/>
      <c r="D399" s="24"/>
      <c r="E399" s="24"/>
      <c r="F399" s="24"/>
      <c r="G399" s="24"/>
      <c r="H399" s="5"/>
    </row>
    <row r="400" spans="3:8" ht="14.25" customHeight="1" x14ac:dyDescent="0.25">
      <c r="C400" s="24"/>
      <c r="D400" s="24"/>
      <c r="E400" s="24"/>
      <c r="F400" s="24"/>
      <c r="G400" s="24"/>
      <c r="H400" s="5"/>
    </row>
    <row r="401" spans="3:8" ht="14.25" customHeight="1" x14ac:dyDescent="0.25">
      <c r="C401" s="24"/>
      <c r="D401" s="24"/>
      <c r="E401" s="24"/>
      <c r="F401" s="24"/>
      <c r="G401" s="24"/>
      <c r="H401" s="5"/>
    </row>
    <row r="402" spans="3:8" ht="14.25" customHeight="1" x14ac:dyDescent="0.25">
      <c r="C402" s="24"/>
      <c r="D402" s="24"/>
      <c r="E402" s="24"/>
      <c r="F402" s="24"/>
      <c r="G402" s="24"/>
      <c r="H402" s="5"/>
    </row>
    <row r="403" spans="3:8" ht="14.25" customHeight="1" x14ac:dyDescent="0.25">
      <c r="C403" s="24"/>
      <c r="D403" s="24"/>
      <c r="E403" s="24"/>
      <c r="F403" s="24"/>
      <c r="G403" s="24"/>
      <c r="H403" s="5"/>
    </row>
    <row r="404" spans="3:8" ht="14.25" customHeight="1" x14ac:dyDescent="0.25">
      <c r="C404" s="24"/>
      <c r="D404" s="24"/>
      <c r="E404" s="24"/>
      <c r="F404" s="24"/>
      <c r="G404" s="24"/>
      <c r="H404" s="5"/>
    </row>
    <row r="405" spans="3:8" ht="14.25" customHeight="1" x14ac:dyDescent="0.25">
      <c r="C405" s="24"/>
      <c r="D405" s="24"/>
      <c r="E405" s="24"/>
      <c r="F405" s="24"/>
      <c r="G405" s="24"/>
      <c r="H405" s="5"/>
    </row>
    <row r="406" spans="3:8" ht="14.25" customHeight="1" x14ac:dyDescent="0.25">
      <c r="C406" s="24"/>
      <c r="D406" s="24"/>
      <c r="E406" s="24"/>
      <c r="F406" s="24"/>
      <c r="G406" s="24"/>
      <c r="H406" s="5"/>
    </row>
    <row r="407" spans="3:8" ht="14.25" customHeight="1" x14ac:dyDescent="0.25">
      <c r="C407" s="24"/>
      <c r="D407" s="24"/>
      <c r="E407" s="24"/>
      <c r="F407" s="24"/>
      <c r="G407" s="24"/>
      <c r="H407" s="5"/>
    </row>
    <row r="408" spans="3:8" ht="14.25" customHeight="1" x14ac:dyDescent="0.25">
      <c r="C408" s="24"/>
      <c r="D408" s="24"/>
      <c r="E408" s="24"/>
      <c r="F408" s="24"/>
      <c r="G408" s="24"/>
      <c r="H408" s="5"/>
    </row>
    <row r="409" spans="3:8" ht="14.25" customHeight="1" x14ac:dyDescent="0.25">
      <c r="C409" s="24"/>
      <c r="D409" s="24"/>
      <c r="E409" s="24"/>
      <c r="F409" s="24"/>
      <c r="G409" s="24"/>
      <c r="H409" s="5"/>
    </row>
    <row r="410" spans="3:8" ht="14.25" customHeight="1" x14ac:dyDescent="0.25">
      <c r="C410" s="24"/>
      <c r="D410" s="24"/>
      <c r="E410" s="24"/>
      <c r="F410" s="24"/>
      <c r="G410" s="24"/>
      <c r="H410" s="5"/>
    </row>
    <row r="411" spans="3:8" ht="14.25" customHeight="1" x14ac:dyDescent="0.25">
      <c r="C411" s="24"/>
      <c r="D411" s="24"/>
      <c r="E411" s="24"/>
      <c r="F411" s="24"/>
      <c r="G411" s="24"/>
      <c r="H411" s="5"/>
    </row>
    <row r="412" spans="3:8" ht="14.25" customHeight="1" x14ac:dyDescent="0.25">
      <c r="C412" s="24"/>
      <c r="D412" s="24"/>
      <c r="E412" s="24"/>
      <c r="F412" s="24"/>
      <c r="G412" s="24"/>
      <c r="H412" s="5"/>
    </row>
    <row r="413" spans="3:8" ht="14.25" customHeight="1" x14ac:dyDescent="0.25">
      <c r="C413" s="24"/>
      <c r="D413" s="24"/>
      <c r="E413" s="24"/>
      <c r="F413" s="24"/>
      <c r="G413" s="24"/>
      <c r="H413" s="5"/>
    </row>
    <row r="414" spans="3:8" ht="14.25" customHeight="1" x14ac:dyDescent="0.25">
      <c r="C414" s="24"/>
      <c r="D414" s="24"/>
      <c r="E414" s="24"/>
      <c r="F414" s="24"/>
      <c r="G414" s="24"/>
      <c r="H414" s="5"/>
    </row>
    <row r="415" spans="3:8" ht="14.25" customHeight="1" x14ac:dyDescent="0.25">
      <c r="C415" s="24"/>
      <c r="D415" s="24"/>
      <c r="E415" s="24"/>
      <c r="F415" s="24"/>
      <c r="G415" s="24"/>
      <c r="H415" s="5"/>
    </row>
    <row r="416" spans="3:8" ht="14.25" customHeight="1" x14ac:dyDescent="0.25">
      <c r="C416" s="24"/>
      <c r="D416" s="24"/>
      <c r="E416" s="24"/>
      <c r="F416" s="24"/>
      <c r="G416" s="24"/>
      <c r="H416" s="5"/>
    </row>
    <row r="417" spans="1:28" ht="14.25" customHeight="1" x14ac:dyDescent="0.25">
      <c r="C417" s="24"/>
      <c r="D417" s="24"/>
      <c r="E417" s="24"/>
      <c r="F417" s="24"/>
      <c r="G417" s="24"/>
      <c r="H417" s="5"/>
    </row>
    <row r="418" spans="1:28" ht="14.25" customHeight="1" x14ac:dyDescent="0.25">
      <c r="C418" s="24"/>
      <c r="D418" s="24"/>
      <c r="E418" s="24"/>
      <c r="F418" s="24"/>
      <c r="G418" s="24"/>
      <c r="H418" s="5"/>
    </row>
    <row r="419" spans="1:28" ht="14.25" customHeight="1" x14ac:dyDescent="0.25">
      <c r="C419" s="24"/>
      <c r="D419" s="24"/>
      <c r="E419" s="24"/>
      <c r="F419" s="24"/>
      <c r="G419" s="24"/>
      <c r="H419" s="5"/>
    </row>
    <row r="420" spans="1:28" ht="14.25" customHeight="1" x14ac:dyDescent="0.25">
      <c r="C420" s="24"/>
      <c r="D420" s="24"/>
      <c r="E420" s="24"/>
      <c r="F420" s="24"/>
      <c r="G420" s="24"/>
      <c r="H420" s="5"/>
    </row>
    <row r="421" spans="1:28" ht="14.25" customHeight="1" x14ac:dyDescent="0.25">
      <c r="C421" s="24"/>
      <c r="D421" s="24"/>
      <c r="E421" s="24"/>
      <c r="F421" s="24"/>
      <c r="G421" s="24"/>
      <c r="H421" s="5"/>
    </row>
    <row r="422" spans="1:28" ht="14.25" customHeight="1" x14ac:dyDescent="0.25">
      <c r="C422" s="24"/>
      <c r="D422" s="24"/>
      <c r="E422" s="24"/>
      <c r="F422" s="24"/>
      <c r="G422" s="24"/>
      <c r="H422" s="5"/>
    </row>
    <row r="423" spans="1:28" ht="14.25" customHeight="1" x14ac:dyDescent="0.25">
      <c r="C423" s="24"/>
      <c r="D423" s="24"/>
      <c r="E423" s="24"/>
      <c r="F423" s="24"/>
      <c r="G423" s="24"/>
      <c r="H423" s="5"/>
    </row>
    <row r="424" spans="1:28" ht="14.25" customHeight="1" x14ac:dyDescent="0.25">
      <c r="C424" s="24"/>
      <c r="D424" s="24"/>
      <c r="E424" s="24"/>
      <c r="F424" s="24"/>
      <c r="G424" s="24"/>
      <c r="H424" s="5"/>
    </row>
    <row r="425" spans="1:28" ht="14.25" customHeight="1" x14ac:dyDescent="0.25">
      <c r="C425" s="24"/>
      <c r="D425" s="24"/>
      <c r="E425" s="24"/>
      <c r="F425" s="24"/>
      <c r="G425" s="24"/>
      <c r="H425" s="5"/>
    </row>
    <row r="426" spans="1:28" ht="14.25" customHeight="1" x14ac:dyDescent="0.25">
      <c r="C426" s="24"/>
      <c r="D426" s="24"/>
      <c r="E426" s="24"/>
      <c r="F426" s="24"/>
      <c r="G426" s="24"/>
      <c r="H426" s="5"/>
    </row>
    <row r="427" spans="1:28" s="8" customFormat="1" x14ac:dyDescent="0.25">
      <c r="B427" s="321" t="str">
        <f>TITLE!C15</f>
        <v>Полотна збірні: ECO-LIANO</v>
      </c>
      <c r="C427" s="321"/>
      <c r="D427" s="93"/>
      <c r="E427" s="93"/>
      <c r="F427" s="93"/>
      <c r="G427" s="93"/>
      <c r="H427" s="322"/>
      <c r="I427" s="322"/>
      <c r="J427" s="94"/>
      <c r="K427" s="94"/>
      <c r="L427" s="94"/>
      <c r="M427" s="94"/>
      <c r="N427" s="94"/>
      <c r="O427" s="94"/>
      <c r="P427" s="323" t="str">
        <f>IF($C$1="ENG",CONCATENATE("up to: ",B349),CONCATENATE("вгору до: ",B349))</f>
        <v>вгору до: Полотна збірні: ECO-MILANO</v>
      </c>
      <c r="Q427" s="323"/>
      <c r="R427" s="323"/>
      <c r="S427" s="323"/>
    </row>
    <row r="428" spans="1:28" s="8" customFormat="1" ht="5.0999999999999996" customHeight="1" x14ac:dyDescent="0.25">
      <c r="B428" s="92"/>
      <c r="C428" s="92"/>
      <c r="D428" s="9"/>
      <c r="E428" s="9"/>
      <c r="F428" s="10"/>
      <c r="G428" s="10"/>
      <c r="H428" s="109"/>
      <c r="I428" s="109"/>
      <c r="J428" s="1"/>
      <c r="K428" s="1"/>
      <c r="P428" s="88"/>
      <c r="Q428" s="88"/>
      <c r="R428" s="88"/>
      <c r="S428" s="88"/>
    </row>
    <row r="429" spans="1:28" s="8" customFormat="1" ht="12.75" customHeight="1" x14ac:dyDescent="0.25">
      <c r="B429" s="324" t="str">
        <f>IF($C$1="ENG","model","модель")</f>
        <v>модель</v>
      </c>
      <c r="C429" s="95" t="str">
        <f>IF($C$1="ENG","cover:","покриття:")</f>
        <v>покриття:</v>
      </c>
      <c r="D429" s="327" t="str">
        <f>IF($C$1="ENG","ECO-CELL","ECO-CELL")</f>
        <v>ECO-CELL</v>
      </c>
      <c r="E429" s="328"/>
      <c r="F429" s="327" t="str">
        <f>IF($C$1="ENG","ECO-RESIST","ECO-RESIST")</f>
        <v>ECO-RESIST</v>
      </c>
      <c r="G429" s="328"/>
      <c r="H429" s="35"/>
      <c r="I429" s="35"/>
      <c r="J429" s="35"/>
      <c r="K429" s="35"/>
      <c r="P429" s="88"/>
      <c r="Q429" s="88"/>
      <c r="R429" s="88"/>
      <c r="S429" s="88"/>
    </row>
    <row r="430" spans="1:28" s="8" customFormat="1" x14ac:dyDescent="0.25">
      <c r="B430" s="325"/>
      <c r="C430" s="96" t="str">
        <f>IF($C$1="ENG","filling:","заповнення:")</f>
        <v>заповнення:</v>
      </c>
      <c r="D430" s="329" t="str">
        <f>IF($C$1="ENG","MDF","MDF")</f>
        <v>MDF</v>
      </c>
      <c r="E430" s="330"/>
      <c r="F430" s="329" t="str">
        <f>IF($C$1="ENG","MDF","MDF")</f>
        <v>MDF</v>
      </c>
      <c r="G430" s="330"/>
      <c r="H430" s="36"/>
      <c r="I430" s="36"/>
      <c r="J430" s="36"/>
      <c r="K430" s="36"/>
      <c r="P430" s="88"/>
      <c r="Q430" s="88"/>
      <c r="R430" s="88"/>
      <c r="S430" s="88"/>
    </row>
    <row r="431" spans="1:28" ht="12.75" customHeight="1" x14ac:dyDescent="0.25">
      <c r="A431" s="8"/>
      <c r="B431" s="326"/>
      <c r="C431" s="97" t="str">
        <f>IF($C$1="ENG","glazing:","скління:")</f>
        <v>скління:</v>
      </c>
      <c r="D431" s="331" t="str">
        <f>IF($C$1="ENG","Satin","Сатин")</f>
        <v>Сатин</v>
      </c>
      <c r="E431" s="332"/>
      <c r="F431" s="331" t="str">
        <f>IF($C$1="ENG","Satin","Сатин")</f>
        <v>Сатин</v>
      </c>
      <c r="G431" s="332"/>
      <c r="H431" s="36"/>
      <c r="I431" s="36"/>
      <c r="J431" s="36"/>
      <c r="K431" s="36"/>
      <c r="L431" s="11"/>
      <c r="M431" s="11"/>
      <c r="N431" s="11"/>
      <c r="O431" s="11"/>
      <c r="P431" s="11"/>
    </row>
    <row r="432" spans="1:28" ht="35.1" customHeight="1" x14ac:dyDescent="0.25">
      <c r="A432" s="8"/>
      <c r="B432" s="13" t="s">
        <v>17</v>
      </c>
      <c r="C432" s="14"/>
      <c r="D432" s="15">
        <f t="shared" ref="D432:D441" si="35">IF(U432="","",(1-$S$2)*(U432/1.2))</f>
        <v>4558.3333333333339</v>
      </c>
      <c r="E432" s="54">
        <f t="shared" ref="E432:E441" si="36">IF($S$5=0.2,D432*1.2,D432)/$S$4</f>
        <v>5470.0000000000009</v>
      </c>
      <c r="F432" s="15">
        <f>IF(V432="","",(1-$S$2)*(V432/1.2))</f>
        <v>5166.666666666667</v>
      </c>
      <c r="G432" s="54">
        <f t="shared" ref="G432:G441" si="37">IF($S$5=0.2,F432*1.2,F432)/$S$4</f>
        <v>6200</v>
      </c>
      <c r="H432" s="26"/>
      <c r="I432" s="49"/>
      <c r="J432" s="26"/>
      <c r="K432" s="49"/>
      <c r="L432" s="80"/>
      <c r="M432" s="20"/>
      <c r="N432" s="80"/>
      <c r="O432" s="20"/>
      <c r="P432" s="80"/>
      <c r="Q432" s="20"/>
      <c r="R432" s="80"/>
      <c r="S432" s="20"/>
      <c r="U432" s="286">
        <v>5470</v>
      </c>
      <c r="V432" s="286">
        <v>6200</v>
      </c>
      <c r="W432" s="286"/>
      <c r="X432" s="286"/>
      <c r="Y432" s="286"/>
      <c r="Z432" s="286"/>
      <c r="AA432" s="286"/>
      <c r="AB432" s="286"/>
    </row>
    <row r="433" spans="1:28" ht="35.1" customHeight="1" x14ac:dyDescent="0.25">
      <c r="A433" s="8"/>
      <c r="B433" s="16" t="s">
        <v>18</v>
      </c>
      <c r="C433" s="17"/>
      <c r="D433" s="18">
        <f t="shared" si="35"/>
        <v>4558.3333333333339</v>
      </c>
      <c r="E433" s="56">
        <f t="shared" si="36"/>
        <v>5470.0000000000009</v>
      </c>
      <c r="F433" s="15">
        <f t="shared" ref="F433:F441" si="38">IF(V433="","",(1-$S$2)*(V433/1.2))</f>
        <v>5166.666666666667</v>
      </c>
      <c r="G433" s="56">
        <f t="shared" si="37"/>
        <v>6200</v>
      </c>
      <c r="H433" s="26"/>
      <c r="I433" s="49"/>
      <c r="J433" s="26"/>
      <c r="K433" s="49"/>
      <c r="L433" s="80"/>
      <c r="M433" s="20"/>
      <c r="N433" s="80"/>
      <c r="O433" s="20"/>
      <c r="P433" s="80"/>
      <c r="Q433" s="20"/>
      <c r="R433" s="80"/>
      <c r="S433" s="20"/>
      <c r="U433" s="286">
        <v>5470</v>
      </c>
      <c r="V433" s="286">
        <v>6200</v>
      </c>
      <c r="W433" s="286"/>
      <c r="X433" s="286"/>
      <c r="Y433" s="286"/>
      <c r="Z433" s="286"/>
      <c r="AA433" s="286"/>
      <c r="AB433" s="286"/>
    </row>
    <row r="434" spans="1:28" ht="35.1" customHeight="1" x14ac:dyDescent="0.25">
      <c r="A434" s="8"/>
      <c r="B434" s="16" t="s">
        <v>19</v>
      </c>
      <c r="C434" s="17"/>
      <c r="D434" s="18">
        <f t="shared" si="35"/>
        <v>4558.3333333333339</v>
      </c>
      <c r="E434" s="56">
        <f t="shared" si="36"/>
        <v>5470.0000000000009</v>
      </c>
      <c r="F434" s="15">
        <f t="shared" si="38"/>
        <v>5166.666666666667</v>
      </c>
      <c r="G434" s="56">
        <f t="shared" si="37"/>
        <v>6200</v>
      </c>
      <c r="H434" s="26"/>
      <c r="I434" s="49"/>
      <c r="J434" s="26"/>
      <c r="K434" s="49"/>
      <c r="L434" s="80"/>
      <c r="M434" s="20"/>
      <c r="N434" s="80"/>
      <c r="O434" s="20"/>
      <c r="P434" s="80"/>
      <c r="Q434" s="20"/>
      <c r="R434" s="80"/>
      <c r="S434" s="20"/>
      <c r="U434" s="286">
        <v>5470</v>
      </c>
      <c r="V434" s="286">
        <v>6200</v>
      </c>
      <c r="W434" s="286"/>
      <c r="X434" s="286"/>
      <c r="Y434" s="286"/>
      <c r="Z434" s="286"/>
      <c r="AA434" s="286"/>
      <c r="AB434" s="286"/>
    </row>
    <row r="435" spans="1:28" ht="35.1" customHeight="1" x14ac:dyDescent="0.25">
      <c r="A435" s="8"/>
      <c r="B435" s="16" t="s">
        <v>20</v>
      </c>
      <c r="C435" s="17"/>
      <c r="D435" s="18">
        <f t="shared" si="35"/>
        <v>4558.3333333333339</v>
      </c>
      <c r="E435" s="56">
        <f t="shared" si="36"/>
        <v>5470.0000000000009</v>
      </c>
      <c r="F435" s="15">
        <f t="shared" si="38"/>
        <v>5166.666666666667</v>
      </c>
      <c r="G435" s="56">
        <f t="shared" si="37"/>
        <v>6200</v>
      </c>
      <c r="H435" s="26"/>
      <c r="I435" s="49"/>
      <c r="J435" s="26"/>
      <c r="K435" s="49"/>
      <c r="L435" s="80"/>
      <c r="M435" s="20"/>
      <c r="N435" s="80"/>
      <c r="O435" s="20"/>
      <c r="P435" s="80"/>
      <c r="Q435" s="20"/>
      <c r="R435" s="80"/>
      <c r="S435" s="20"/>
      <c r="U435" s="286">
        <v>5470</v>
      </c>
      <c r="V435" s="286">
        <v>6200</v>
      </c>
      <c r="W435" s="286"/>
      <c r="X435" s="286"/>
      <c r="Y435" s="286"/>
      <c r="Z435" s="286"/>
      <c r="AA435" s="286"/>
      <c r="AB435" s="286"/>
    </row>
    <row r="436" spans="1:28" ht="35.1" customHeight="1" x14ac:dyDescent="0.25">
      <c r="A436" s="8"/>
      <c r="B436" s="16" t="s">
        <v>21</v>
      </c>
      <c r="C436" s="17"/>
      <c r="D436" s="18">
        <f t="shared" si="35"/>
        <v>4558.3333333333339</v>
      </c>
      <c r="E436" s="56">
        <f t="shared" si="36"/>
        <v>5470.0000000000009</v>
      </c>
      <c r="F436" s="15">
        <f t="shared" si="38"/>
        <v>5166.666666666667</v>
      </c>
      <c r="G436" s="56">
        <f t="shared" si="37"/>
        <v>6200</v>
      </c>
      <c r="H436" s="26"/>
      <c r="I436" s="49"/>
      <c r="J436" s="26"/>
      <c r="K436" s="49"/>
      <c r="L436" s="80"/>
      <c r="M436" s="20"/>
      <c r="N436" s="80"/>
      <c r="O436" s="20"/>
      <c r="P436" s="80"/>
      <c r="Q436" s="20"/>
      <c r="R436" s="80"/>
      <c r="S436" s="20"/>
      <c r="U436" s="286">
        <v>5470</v>
      </c>
      <c r="V436" s="286">
        <v>6200</v>
      </c>
      <c r="W436" s="286"/>
      <c r="X436" s="286"/>
      <c r="Y436" s="286"/>
      <c r="Z436" s="286"/>
      <c r="AA436" s="286"/>
      <c r="AB436" s="286"/>
    </row>
    <row r="437" spans="1:28" ht="35.1" customHeight="1" x14ac:dyDescent="0.25">
      <c r="A437" s="8"/>
      <c r="B437" s="16" t="s">
        <v>22</v>
      </c>
      <c r="C437" s="279"/>
      <c r="D437" s="18">
        <f>IF(U437="","",(1-$S$2)*(U437/1.2))</f>
        <v>4558.3333333333339</v>
      </c>
      <c r="E437" s="56">
        <f>IF($S$5=0.2,D437*1.2,D437)/$S$4</f>
        <v>5470.0000000000009</v>
      </c>
      <c r="F437" s="15">
        <f t="shared" si="38"/>
        <v>5166.666666666667</v>
      </c>
      <c r="G437" s="56">
        <f t="shared" si="37"/>
        <v>6200</v>
      </c>
      <c r="H437" s="26"/>
      <c r="I437" s="49"/>
      <c r="J437" s="26"/>
      <c r="K437" s="49"/>
      <c r="L437" s="80"/>
      <c r="M437" s="20"/>
      <c r="N437" s="80"/>
      <c r="O437" s="20"/>
      <c r="P437" s="80"/>
      <c r="Q437" s="20"/>
      <c r="R437" s="80"/>
      <c r="S437" s="20"/>
      <c r="U437" s="286">
        <v>5470</v>
      </c>
      <c r="V437" s="286">
        <v>6200</v>
      </c>
      <c r="W437" s="286"/>
      <c r="X437" s="286"/>
      <c r="Y437" s="286"/>
      <c r="Z437" s="286"/>
      <c r="AA437" s="286"/>
      <c r="AB437" s="286"/>
    </row>
    <row r="438" spans="1:28" ht="35.1" customHeight="1" x14ac:dyDescent="0.25">
      <c r="A438" s="8"/>
      <c r="B438" s="16" t="s">
        <v>47</v>
      </c>
      <c r="C438" s="279"/>
      <c r="D438" s="18">
        <f>IF(U438="","",(1-$S$2)*(U438/1.2))</f>
        <v>4558.3333333333339</v>
      </c>
      <c r="E438" s="56">
        <f>IF($S$5=0.2,D438*1.2,D438)/$S$4</f>
        <v>5470.0000000000009</v>
      </c>
      <c r="F438" s="15">
        <f t="shared" si="38"/>
        <v>5166.666666666667</v>
      </c>
      <c r="G438" s="56">
        <f t="shared" si="37"/>
        <v>6200</v>
      </c>
      <c r="H438" s="26"/>
      <c r="I438" s="49"/>
      <c r="J438" s="26"/>
      <c r="K438" s="49"/>
      <c r="L438" s="80"/>
      <c r="M438" s="20"/>
      <c r="N438" s="80"/>
      <c r="O438" s="20"/>
      <c r="P438" s="80"/>
      <c r="Q438" s="20"/>
      <c r="R438" s="80"/>
      <c r="S438" s="20"/>
      <c r="U438" s="286">
        <v>5470</v>
      </c>
      <c r="V438" s="286">
        <v>6200</v>
      </c>
      <c r="W438" s="286"/>
      <c r="X438" s="286"/>
      <c r="Y438" s="286"/>
      <c r="Z438" s="286"/>
      <c r="AA438" s="286"/>
      <c r="AB438" s="286"/>
    </row>
    <row r="439" spans="1:28" ht="35.1" customHeight="1" x14ac:dyDescent="0.25">
      <c r="A439" s="8"/>
      <c r="B439" s="16" t="s">
        <v>48</v>
      </c>
      <c r="C439" s="279"/>
      <c r="D439" s="18">
        <f>IF(U439="","",(1-$S$2)*(U439/1.2))</f>
        <v>4558.3333333333339</v>
      </c>
      <c r="E439" s="56">
        <f>IF($S$5=0.2,D439*1.2,D439)/$S$4</f>
        <v>5470.0000000000009</v>
      </c>
      <c r="F439" s="15">
        <f t="shared" si="38"/>
        <v>5166.666666666667</v>
      </c>
      <c r="G439" s="56">
        <f t="shared" si="37"/>
        <v>6200</v>
      </c>
      <c r="H439" s="26"/>
      <c r="I439" s="49"/>
      <c r="J439" s="26"/>
      <c r="K439" s="49"/>
      <c r="L439" s="80"/>
      <c r="M439" s="20"/>
      <c r="N439" s="80"/>
      <c r="O439" s="20"/>
      <c r="P439" s="80"/>
      <c r="Q439" s="20"/>
      <c r="R439" s="80"/>
      <c r="S439" s="20"/>
      <c r="U439" s="286">
        <v>5470</v>
      </c>
      <c r="V439" s="286">
        <v>6200</v>
      </c>
      <c r="W439" s="286"/>
      <c r="X439" s="286"/>
      <c r="Y439" s="286"/>
      <c r="Z439" s="286"/>
      <c r="AA439" s="286"/>
      <c r="AB439" s="286"/>
    </row>
    <row r="440" spans="1:28" ht="35.1" customHeight="1" x14ac:dyDescent="0.25">
      <c r="A440" s="8"/>
      <c r="B440" s="16" t="s">
        <v>49</v>
      </c>
      <c r="C440" s="279"/>
      <c r="D440" s="18">
        <f>IF(U440="","",(1-$S$2)*(U440/1.2))</f>
        <v>4558.3333333333339</v>
      </c>
      <c r="E440" s="56">
        <f>IF($S$5=0.2,D440*1.2,D440)/$S$4</f>
        <v>5470.0000000000009</v>
      </c>
      <c r="F440" s="15">
        <f t="shared" si="38"/>
        <v>5166.666666666667</v>
      </c>
      <c r="G440" s="56">
        <f t="shared" si="37"/>
        <v>6200</v>
      </c>
      <c r="H440" s="26"/>
      <c r="I440" s="49"/>
      <c r="J440" s="26"/>
      <c r="K440" s="49"/>
      <c r="L440" s="80"/>
      <c r="M440" s="20"/>
      <c r="N440" s="80"/>
      <c r="O440" s="20"/>
      <c r="P440" s="80"/>
      <c r="Q440" s="20"/>
      <c r="R440" s="80"/>
      <c r="S440" s="20"/>
      <c r="U440" s="286">
        <v>5470</v>
      </c>
      <c r="V440" s="286">
        <v>6200</v>
      </c>
      <c r="W440" s="286"/>
      <c r="X440" s="286"/>
      <c r="Y440" s="286"/>
      <c r="Z440" s="286"/>
      <c r="AA440" s="286"/>
      <c r="AB440" s="286"/>
    </row>
    <row r="441" spans="1:28" ht="35.1" customHeight="1" x14ac:dyDescent="0.25">
      <c r="A441" s="8"/>
      <c r="B441" s="21" t="s">
        <v>50</v>
      </c>
      <c r="C441" s="22"/>
      <c r="D441" s="23">
        <f t="shared" si="35"/>
        <v>4558.3333333333339</v>
      </c>
      <c r="E441" s="59">
        <f t="shared" si="36"/>
        <v>5470.0000000000009</v>
      </c>
      <c r="F441" s="15">
        <f t="shared" si="38"/>
        <v>5166.666666666667</v>
      </c>
      <c r="G441" s="59">
        <f t="shared" si="37"/>
        <v>6200</v>
      </c>
      <c r="H441" s="26"/>
      <c r="I441" s="49"/>
      <c r="J441" s="26"/>
      <c r="K441" s="49"/>
      <c r="L441" s="80"/>
      <c r="M441" s="20"/>
      <c r="N441" s="80"/>
      <c r="O441" s="20"/>
      <c r="P441" s="80"/>
      <c r="Q441" s="20"/>
      <c r="R441" s="80"/>
      <c r="S441" s="20"/>
      <c r="U441" s="286">
        <v>5470</v>
      </c>
      <c r="V441" s="286">
        <v>6200</v>
      </c>
      <c r="W441" s="286"/>
      <c r="X441" s="286"/>
      <c r="Y441" s="286"/>
      <c r="Z441" s="286"/>
      <c r="AA441" s="286"/>
      <c r="AB441" s="286"/>
    </row>
    <row r="442" spans="1:28" x14ac:dyDescent="0.25">
      <c r="C442" s="24"/>
      <c r="D442" s="24"/>
      <c r="E442" s="46"/>
      <c r="F442" s="24"/>
      <c r="G442" s="46"/>
      <c r="H442" s="5"/>
    </row>
    <row r="443" spans="1:28" x14ac:dyDescent="0.25">
      <c r="B443" s="155" t="str">
        <f>IF($C$1="ENG","For additonal charge:","Послуги за додаткову плату:")</f>
        <v>Послуги за додаткову плату:</v>
      </c>
      <c r="C443" s="156"/>
      <c r="D443" s="156"/>
      <c r="E443" s="157"/>
      <c r="F443" s="24"/>
      <c r="G443" s="46"/>
      <c r="H443" s="10"/>
      <c r="I443" s="8"/>
      <c r="J443" s="8"/>
      <c r="K443" s="8"/>
    </row>
    <row r="444" spans="1:28" ht="5.0999999999999996" customHeight="1" x14ac:dyDescent="0.25">
      <c r="B444" s="25"/>
      <c r="C444" s="24"/>
      <c r="D444" s="24"/>
      <c r="E444" s="46"/>
      <c r="F444" s="24"/>
      <c r="G444" s="24"/>
      <c r="H444" s="10"/>
      <c r="I444" s="8"/>
      <c r="J444" s="8"/>
      <c r="K444" s="8"/>
    </row>
    <row r="445" spans="1:28" x14ac:dyDescent="0.25">
      <c r="B445" s="317" t="str">
        <f>IF($C$1="ENG","door leaf with width 100","полотно розміром 100")</f>
        <v>полотно розміром 100</v>
      </c>
      <c r="C445" s="318"/>
      <c r="D445" s="100">
        <f t="shared" ref="D445:D447" si="39">IF(U445="","",(1-$S$2)*(U445/1.2))</f>
        <v>708.33333333333337</v>
      </c>
      <c r="E445" s="73">
        <f>IF($S$5=0.2,D445*1.2,D445)/$S$4</f>
        <v>850</v>
      </c>
      <c r="F445" s="24"/>
      <c r="G445" s="24"/>
      <c r="H445" s="10"/>
      <c r="I445" s="8"/>
      <c r="J445" s="8"/>
      <c r="K445" s="8"/>
      <c r="U445" s="286">
        <v>850</v>
      </c>
      <c r="V445" s="286"/>
      <c r="W445" s="286"/>
      <c r="X445" s="286"/>
      <c r="Y445" s="286"/>
      <c r="Z445" s="286"/>
      <c r="AA445" s="286"/>
      <c r="AB445" s="286"/>
    </row>
    <row r="446" spans="1:28" x14ac:dyDescent="0.25">
      <c r="B446" s="319" t="str">
        <f>IF($C$1="ENG","Ventilation sleeves (1 row)","вентиляційні віддушини (1 ряд)")</f>
        <v>вентиляційні віддушини (1 ряд)</v>
      </c>
      <c r="C446" s="320"/>
      <c r="D446" s="101">
        <f t="shared" si="39"/>
        <v>241.66666666666669</v>
      </c>
      <c r="E446" s="74">
        <f>IF($S$5=0.2,D446*1.2,D446)/$S$4</f>
        <v>290</v>
      </c>
      <c r="F446" s="24"/>
      <c r="G446" s="24"/>
      <c r="I446" s="11"/>
      <c r="J446" s="11"/>
      <c r="K446" s="11"/>
      <c r="U446" s="286">
        <v>290</v>
      </c>
      <c r="V446" s="286"/>
      <c r="W446" s="286"/>
      <c r="X446" s="286"/>
      <c r="Y446" s="286"/>
      <c r="Z446" s="286"/>
      <c r="AA446" s="286"/>
      <c r="AB446" s="286"/>
    </row>
    <row r="447" spans="1:28" x14ac:dyDescent="0.25">
      <c r="B447" s="319" t="str">
        <f>IF($C$1="ENG","Ventilation undercut","вентиляційний підріз")</f>
        <v>вентиляційний підріз</v>
      </c>
      <c r="C447" s="320"/>
      <c r="D447" s="79">
        <f t="shared" si="39"/>
        <v>162.5</v>
      </c>
      <c r="E447" s="74">
        <f>IF($S$5=0.2,D447*1.2,D447)/$S$4</f>
        <v>195</v>
      </c>
      <c r="F447" s="24"/>
      <c r="G447" s="24"/>
      <c r="H447" s="5"/>
      <c r="U447" s="286">
        <v>195</v>
      </c>
      <c r="V447" s="286"/>
      <c r="W447" s="286"/>
      <c r="X447" s="286"/>
      <c r="Y447" s="286"/>
      <c r="Z447" s="286"/>
      <c r="AA447" s="286"/>
      <c r="AB447" s="286"/>
    </row>
    <row r="448" spans="1:28" x14ac:dyDescent="0.25">
      <c r="B448" s="319" t="str">
        <f>IF($C$1="ENG","door handle-lock (for sliding doors)","ручка-замок (для дверей купе)")</f>
        <v>ручка-замок (для дверей купе)</v>
      </c>
      <c r="C448" s="320"/>
      <c r="D448" s="101">
        <f>IF(U448="","",(1-$S$2)*(U448/1.2))</f>
        <v>533.33333333333337</v>
      </c>
      <c r="E448" s="74">
        <f>IF($S$5=0.2,D448*1.2,D448)/$S$4</f>
        <v>640</v>
      </c>
      <c r="F448" s="24"/>
      <c r="G448" s="24"/>
      <c r="I448" s="11"/>
      <c r="J448" s="11"/>
      <c r="K448" s="19"/>
      <c r="U448" s="286">
        <v>640</v>
      </c>
      <c r="V448" s="286"/>
      <c r="W448" s="286"/>
      <c r="X448" s="286"/>
      <c r="Y448" s="286"/>
      <c r="Z448" s="286"/>
      <c r="AA448" s="286"/>
      <c r="AB448" s="286"/>
    </row>
    <row r="449" spans="2:28" x14ac:dyDescent="0.25">
      <c r="B449" s="319" t="str">
        <f>IF($C$1="ENG","door hinge caps (1 set)","накладка на завіси (1 к-т)")</f>
        <v>накладка на завіси (1 к-т)</v>
      </c>
      <c r="C449" s="320"/>
      <c r="D449" s="103">
        <f>IF(U449="","",(1-$S$2)*(U449/1.2))</f>
        <v>75</v>
      </c>
      <c r="E449" s="74">
        <f>IF($S$5=0.2,D449*1.2,D449)/$S$4</f>
        <v>90</v>
      </c>
      <c r="F449" s="24"/>
      <c r="G449" s="24"/>
      <c r="U449" s="286">
        <v>90</v>
      </c>
      <c r="V449" s="286"/>
      <c r="W449" s="286"/>
      <c r="X449" s="286"/>
      <c r="Y449" s="286"/>
      <c r="Z449" s="286"/>
      <c r="AA449" s="286"/>
      <c r="AB449" s="286"/>
    </row>
    <row r="450" spans="2:28" x14ac:dyDescent="0.25">
      <c r="B450" s="319" t="str">
        <f>IF($C$1="ENG","door handle","дверна ручка")</f>
        <v>дверна ручка</v>
      </c>
      <c r="C450" s="320"/>
      <c r="D450" s="102" t="str">
        <f>IF(U450="","",(1-$S$2)*(U450/1.2))</f>
        <v/>
      </c>
      <c r="E450" s="180" t="str">
        <f>IF($C$1="ENG","see Handles Price","див.Таблицю Ручки")</f>
        <v>див.Таблицю Ручки</v>
      </c>
      <c r="F450" s="24"/>
      <c r="G450" s="24"/>
      <c r="U450" s="286"/>
      <c r="V450" s="286"/>
      <c r="W450" s="286"/>
      <c r="X450" s="286"/>
      <c r="Y450" s="286"/>
      <c r="Z450" s="286"/>
      <c r="AA450" s="286"/>
      <c r="AB450" s="286"/>
    </row>
    <row r="451" spans="2:28" ht="14.25" customHeight="1" x14ac:dyDescent="0.25">
      <c r="C451" s="24"/>
      <c r="D451" s="24"/>
      <c r="E451" s="24"/>
      <c r="F451" s="24"/>
      <c r="G451" s="24"/>
      <c r="H451" s="5"/>
      <c r="P451" s="333" t="str">
        <f>IF($C$1="ENG",CONCATENATE("down to: ",B501),CONCATENATE("вниз до: ",B501))</f>
        <v>вниз до: Полотна збірні: ECO-BERGAMO</v>
      </c>
      <c r="Q451" s="333"/>
      <c r="R451" s="333"/>
      <c r="S451" s="333"/>
    </row>
    <row r="452" spans="2:28" ht="14.25" customHeight="1" x14ac:dyDescent="0.25">
      <c r="C452" s="24"/>
      <c r="D452" s="24"/>
      <c r="E452" s="24"/>
      <c r="F452" s="24"/>
      <c r="G452" s="24"/>
      <c r="H452" s="5"/>
    </row>
    <row r="453" spans="2:28" ht="14.25" customHeight="1" x14ac:dyDescent="0.25">
      <c r="C453" s="24"/>
      <c r="D453" s="24"/>
      <c r="E453" s="24"/>
      <c r="F453" s="24"/>
      <c r="G453" s="24"/>
      <c r="H453" s="5"/>
    </row>
    <row r="454" spans="2:28" ht="14.25" customHeight="1" x14ac:dyDescent="0.25">
      <c r="C454" s="24"/>
      <c r="D454" s="24"/>
      <c r="E454" s="24"/>
      <c r="F454" s="24"/>
      <c r="G454" s="24"/>
      <c r="H454" s="5"/>
    </row>
    <row r="455" spans="2:28" ht="14.25" customHeight="1" x14ac:dyDescent="0.25">
      <c r="C455" s="24"/>
      <c r="D455" s="24"/>
      <c r="E455" s="24"/>
      <c r="F455" s="24"/>
      <c r="G455" s="24"/>
      <c r="H455" s="5"/>
    </row>
    <row r="456" spans="2:28" ht="14.25" customHeight="1" x14ac:dyDescent="0.25">
      <c r="C456" s="24"/>
      <c r="D456" s="24"/>
      <c r="E456" s="24"/>
      <c r="F456" s="24"/>
      <c r="G456" s="24"/>
      <c r="H456" s="5"/>
    </row>
    <row r="457" spans="2:28" ht="14.25" customHeight="1" x14ac:dyDescent="0.25">
      <c r="C457" s="24"/>
      <c r="D457" s="24"/>
      <c r="E457" s="24"/>
      <c r="F457" s="24"/>
      <c r="G457" s="24"/>
      <c r="H457" s="5"/>
    </row>
    <row r="458" spans="2:28" ht="14.25" customHeight="1" x14ac:dyDescent="0.25">
      <c r="C458" s="24"/>
      <c r="D458" s="24"/>
      <c r="E458" s="24"/>
      <c r="F458" s="24"/>
      <c r="G458" s="24"/>
      <c r="H458" s="5"/>
    </row>
    <row r="459" spans="2:28" ht="14.25" customHeight="1" x14ac:dyDescent="0.25">
      <c r="C459" s="24"/>
      <c r="D459" s="24"/>
      <c r="E459" s="24"/>
      <c r="F459" s="24"/>
      <c r="G459" s="24"/>
      <c r="H459" s="5"/>
    </row>
    <row r="460" spans="2:28" ht="14.25" customHeight="1" x14ac:dyDescent="0.25">
      <c r="C460" s="24"/>
      <c r="D460" s="24"/>
      <c r="E460" s="24"/>
      <c r="F460" s="24"/>
      <c r="G460" s="24"/>
      <c r="H460" s="5"/>
    </row>
    <row r="461" spans="2:28" ht="14.25" customHeight="1" x14ac:dyDescent="0.25">
      <c r="C461" s="24"/>
      <c r="D461" s="24"/>
      <c r="E461" s="24"/>
      <c r="F461" s="24"/>
      <c r="G461" s="24"/>
      <c r="H461" s="5"/>
    </row>
    <row r="462" spans="2:28" ht="14.25" customHeight="1" x14ac:dyDescent="0.25">
      <c r="C462" s="24"/>
      <c r="D462" s="24"/>
      <c r="E462" s="24"/>
      <c r="F462" s="24"/>
      <c r="G462" s="24"/>
      <c r="H462" s="5"/>
    </row>
    <row r="463" spans="2:28" ht="14.25" customHeight="1" x14ac:dyDescent="0.25">
      <c r="C463" s="24"/>
      <c r="D463" s="24"/>
      <c r="E463" s="24"/>
      <c r="F463" s="24"/>
      <c r="G463" s="24"/>
      <c r="H463" s="5"/>
    </row>
    <row r="464" spans="2:28" ht="14.25" customHeight="1" x14ac:dyDescent="0.25">
      <c r="C464" s="24"/>
      <c r="D464" s="24"/>
      <c r="E464" s="24"/>
      <c r="F464" s="24"/>
      <c r="G464" s="24"/>
      <c r="H464" s="5"/>
    </row>
    <row r="465" spans="3:8" ht="14.25" customHeight="1" x14ac:dyDescent="0.25">
      <c r="C465" s="24"/>
      <c r="D465" s="24"/>
      <c r="E465" s="24"/>
      <c r="F465" s="24"/>
      <c r="G465" s="24"/>
      <c r="H465" s="5"/>
    </row>
    <row r="466" spans="3:8" ht="14.25" customHeight="1" x14ac:dyDescent="0.25">
      <c r="C466" s="24"/>
      <c r="D466" s="24"/>
      <c r="E466" s="24"/>
      <c r="F466" s="24"/>
      <c r="G466" s="24"/>
      <c r="H466" s="5"/>
    </row>
    <row r="467" spans="3:8" ht="14.25" customHeight="1" x14ac:dyDescent="0.25">
      <c r="C467" s="24"/>
      <c r="D467" s="24"/>
      <c r="E467" s="24"/>
      <c r="F467" s="24"/>
      <c r="G467" s="24"/>
      <c r="H467" s="5"/>
    </row>
    <row r="468" spans="3:8" ht="14.25" customHeight="1" x14ac:dyDescent="0.25">
      <c r="C468" s="24"/>
      <c r="D468" s="24"/>
      <c r="E468" s="24"/>
      <c r="F468" s="24"/>
      <c r="G468" s="24"/>
      <c r="H468" s="5"/>
    </row>
    <row r="469" spans="3:8" ht="14.25" customHeight="1" x14ac:dyDescent="0.25">
      <c r="C469" s="24"/>
      <c r="D469" s="24"/>
      <c r="E469" s="24"/>
      <c r="F469" s="24"/>
      <c r="G469" s="24"/>
      <c r="H469" s="5"/>
    </row>
    <row r="470" spans="3:8" ht="14.25" customHeight="1" x14ac:dyDescent="0.25">
      <c r="C470" s="24"/>
      <c r="D470" s="24"/>
      <c r="E470" s="24"/>
      <c r="F470" s="24"/>
      <c r="G470" s="24"/>
      <c r="H470" s="5"/>
    </row>
    <row r="471" spans="3:8" ht="14.25" customHeight="1" x14ac:dyDescent="0.25">
      <c r="C471" s="24"/>
      <c r="D471" s="24"/>
      <c r="E471" s="24"/>
      <c r="F471" s="24"/>
      <c r="G471" s="24"/>
      <c r="H471" s="5"/>
    </row>
    <row r="472" spans="3:8" ht="14.25" customHeight="1" x14ac:dyDescent="0.25">
      <c r="C472" s="24"/>
      <c r="D472" s="24"/>
      <c r="E472" s="24"/>
      <c r="F472" s="24"/>
      <c r="G472" s="24"/>
      <c r="H472" s="5"/>
    </row>
    <row r="473" spans="3:8" ht="14.25" customHeight="1" x14ac:dyDescent="0.25">
      <c r="C473" s="24"/>
      <c r="D473" s="24"/>
      <c r="E473" s="24"/>
      <c r="F473" s="24"/>
      <c r="G473" s="24"/>
      <c r="H473" s="5"/>
    </row>
    <row r="474" spans="3:8" ht="14.25" customHeight="1" x14ac:dyDescent="0.25">
      <c r="C474" s="24"/>
      <c r="D474" s="24"/>
      <c r="E474" s="24"/>
      <c r="F474" s="24"/>
      <c r="G474" s="24"/>
      <c r="H474" s="5"/>
    </row>
    <row r="475" spans="3:8" ht="14.25" customHeight="1" x14ac:dyDescent="0.25">
      <c r="C475" s="24"/>
      <c r="D475" s="24"/>
      <c r="E475" s="24"/>
      <c r="F475" s="24"/>
      <c r="G475" s="24"/>
      <c r="H475" s="5"/>
    </row>
    <row r="476" spans="3:8" ht="14.25" customHeight="1" x14ac:dyDescent="0.25">
      <c r="C476" s="24"/>
      <c r="D476" s="24"/>
      <c r="E476" s="24"/>
      <c r="F476" s="24"/>
      <c r="G476" s="24"/>
      <c r="H476" s="5"/>
    </row>
    <row r="477" spans="3:8" ht="14.25" customHeight="1" x14ac:dyDescent="0.25">
      <c r="C477" s="24"/>
      <c r="D477" s="24"/>
      <c r="E477" s="24"/>
      <c r="F477" s="24"/>
      <c r="G477" s="24"/>
      <c r="H477" s="5"/>
    </row>
    <row r="478" spans="3:8" ht="14.25" customHeight="1" x14ac:dyDescent="0.25">
      <c r="C478" s="24"/>
      <c r="D478" s="24"/>
      <c r="E478" s="24"/>
      <c r="F478" s="24"/>
      <c r="G478" s="24"/>
      <c r="H478" s="5"/>
    </row>
    <row r="479" spans="3:8" ht="14.25" customHeight="1" x14ac:dyDescent="0.25">
      <c r="C479" s="24"/>
      <c r="D479" s="24"/>
      <c r="E479" s="24"/>
      <c r="F479" s="24"/>
      <c r="G479" s="24"/>
      <c r="H479" s="5"/>
    </row>
    <row r="480" spans="3:8" ht="14.25" customHeight="1" x14ac:dyDescent="0.25">
      <c r="C480" s="24"/>
      <c r="D480" s="24"/>
      <c r="E480" s="24"/>
      <c r="F480" s="24"/>
      <c r="G480" s="24"/>
      <c r="H480" s="5"/>
    </row>
    <row r="481" spans="3:8" ht="14.25" customHeight="1" x14ac:dyDescent="0.25">
      <c r="C481" s="24"/>
      <c r="D481" s="24"/>
      <c r="E481" s="24"/>
      <c r="F481" s="24"/>
      <c r="G481" s="24"/>
      <c r="H481" s="5"/>
    </row>
    <row r="482" spans="3:8" ht="14.25" customHeight="1" x14ac:dyDescent="0.25">
      <c r="C482" s="24"/>
      <c r="D482" s="24"/>
      <c r="E482" s="24"/>
      <c r="F482" s="24"/>
      <c r="G482" s="24"/>
      <c r="H482" s="5"/>
    </row>
    <row r="483" spans="3:8" ht="14.25" customHeight="1" x14ac:dyDescent="0.25">
      <c r="C483" s="24"/>
      <c r="D483" s="24"/>
      <c r="E483" s="24"/>
      <c r="F483" s="24"/>
      <c r="G483" s="24"/>
      <c r="H483" s="5"/>
    </row>
    <row r="484" spans="3:8" ht="14.25" customHeight="1" x14ac:dyDescent="0.25">
      <c r="C484" s="24"/>
      <c r="D484" s="24"/>
      <c r="E484" s="24"/>
      <c r="F484" s="24"/>
      <c r="G484" s="24"/>
      <c r="H484" s="5"/>
    </row>
    <row r="485" spans="3:8" ht="14.25" customHeight="1" x14ac:dyDescent="0.25">
      <c r="C485" s="24"/>
      <c r="D485" s="24"/>
      <c r="E485" s="24"/>
      <c r="F485" s="24"/>
      <c r="G485" s="24"/>
      <c r="H485" s="5"/>
    </row>
    <row r="486" spans="3:8" ht="14.25" customHeight="1" x14ac:dyDescent="0.25">
      <c r="C486" s="24"/>
      <c r="D486" s="24"/>
      <c r="E486" s="24"/>
      <c r="F486" s="24"/>
      <c r="G486" s="24"/>
      <c r="H486" s="5"/>
    </row>
    <row r="487" spans="3:8" ht="14.25" customHeight="1" x14ac:dyDescent="0.25">
      <c r="C487" s="24"/>
      <c r="D487" s="24"/>
      <c r="E487" s="24"/>
      <c r="F487" s="24"/>
      <c r="G487" s="24"/>
      <c r="H487" s="5"/>
    </row>
    <row r="488" spans="3:8" ht="14.25" customHeight="1" x14ac:dyDescent="0.25">
      <c r="C488" s="24"/>
      <c r="D488" s="24"/>
      <c r="E488" s="24"/>
      <c r="F488" s="24"/>
      <c r="G488" s="24"/>
      <c r="H488" s="5"/>
    </row>
    <row r="489" spans="3:8" ht="14.25" customHeight="1" x14ac:dyDescent="0.25">
      <c r="C489" s="24"/>
      <c r="D489" s="24"/>
      <c r="E489" s="24"/>
      <c r="F489" s="24"/>
      <c r="G489" s="24"/>
      <c r="H489" s="5"/>
    </row>
    <row r="490" spans="3:8" ht="14.25" customHeight="1" x14ac:dyDescent="0.25">
      <c r="C490" s="24"/>
      <c r="D490" s="24"/>
      <c r="E490" s="24"/>
      <c r="F490" s="24"/>
      <c r="G490" s="24"/>
      <c r="H490" s="5"/>
    </row>
    <row r="491" spans="3:8" ht="14.25" customHeight="1" x14ac:dyDescent="0.25">
      <c r="C491" s="24"/>
      <c r="D491" s="24"/>
      <c r="E491" s="24"/>
      <c r="F491" s="24"/>
      <c r="G491" s="24"/>
      <c r="H491" s="5"/>
    </row>
    <row r="492" spans="3:8" ht="14.25" customHeight="1" x14ac:dyDescent="0.25">
      <c r="C492" s="24"/>
      <c r="D492" s="24"/>
      <c r="E492" s="24"/>
      <c r="F492" s="24"/>
      <c r="G492" s="24"/>
      <c r="H492" s="5"/>
    </row>
    <row r="493" spans="3:8" ht="14.25" customHeight="1" x14ac:dyDescent="0.25">
      <c r="C493" s="24"/>
      <c r="D493" s="24"/>
      <c r="E493" s="24"/>
      <c r="F493" s="24"/>
      <c r="G493" s="24"/>
      <c r="H493" s="5"/>
    </row>
    <row r="494" spans="3:8" ht="14.25" customHeight="1" x14ac:dyDescent="0.25">
      <c r="C494" s="24"/>
      <c r="D494" s="24"/>
      <c r="E494" s="24"/>
      <c r="F494" s="24"/>
      <c r="G494" s="24"/>
      <c r="H494" s="5"/>
    </row>
    <row r="495" spans="3:8" ht="14.25" customHeight="1" x14ac:dyDescent="0.25">
      <c r="C495" s="24"/>
      <c r="D495" s="24"/>
      <c r="E495" s="24"/>
      <c r="F495" s="24"/>
      <c r="G495" s="24"/>
      <c r="H495" s="5"/>
    </row>
    <row r="496" spans="3:8" ht="14.25" customHeight="1" x14ac:dyDescent="0.25">
      <c r="C496" s="24"/>
      <c r="D496" s="24"/>
      <c r="E496" s="24"/>
      <c r="F496" s="24"/>
      <c r="G496" s="24"/>
      <c r="H496" s="5"/>
    </row>
    <row r="497" spans="2:28" ht="14.25" customHeight="1" x14ac:dyDescent="0.25">
      <c r="C497" s="24"/>
      <c r="D497" s="24"/>
      <c r="E497" s="24"/>
      <c r="F497" s="24"/>
      <c r="G497" s="24"/>
      <c r="H497" s="5"/>
    </row>
    <row r="498" spans="2:28" ht="14.25" customHeight="1" x14ac:dyDescent="0.25">
      <c r="C498" s="24"/>
      <c r="D498" s="24"/>
      <c r="E498" s="24"/>
      <c r="F498" s="24"/>
      <c r="G498" s="24"/>
      <c r="H498" s="5"/>
    </row>
    <row r="499" spans="2:28" ht="14.25" customHeight="1" x14ac:dyDescent="0.25">
      <c r="C499" s="24"/>
      <c r="D499" s="24"/>
      <c r="E499" s="24"/>
      <c r="F499" s="24"/>
      <c r="G499" s="24"/>
      <c r="H499" s="5"/>
    </row>
    <row r="500" spans="2:28" ht="14.25" customHeight="1" x14ac:dyDescent="0.25">
      <c r="C500" s="24"/>
      <c r="D500" s="24"/>
      <c r="E500" s="24"/>
      <c r="F500" s="24"/>
      <c r="G500" s="24"/>
      <c r="H500" s="5"/>
      <c r="Q500" s="8"/>
    </row>
    <row r="501" spans="2:28" ht="12.75" customHeight="1" x14ac:dyDescent="0.25">
      <c r="B501" s="321" t="str">
        <f>TITLE!C16</f>
        <v>Полотна збірні: ECO-BERGAMO</v>
      </c>
      <c r="C501" s="321"/>
      <c r="D501" s="93"/>
      <c r="E501" s="277"/>
      <c r="F501" s="93"/>
      <c r="G501" s="93"/>
      <c r="H501" s="322"/>
      <c r="I501" s="322"/>
      <c r="J501" s="94"/>
      <c r="K501" s="94"/>
      <c r="L501" s="94"/>
      <c r="M501" s="94"/>
      <c r="N501" s="94"/>
      <c r="O501" s="94"/>
      <c r="P501" s="323" t="str">
        <f>IF($C$1="ENG",CONCATENATE("up to: ",B427),CONCATENATE("вгору до: ",B427))</f>
        <v>вгору до: Полотна збірні: ECO-LIANO</v>
      </c>
      <c r="Q501" s="323"/>
      <c r="R501" s="323"/>
      <c r="S501" s="323"/>
    </row>
    <row r="502" spans="2:28" ht="4.5" customHeight="1" x14ac:dyDescent="0.25">
      <c r="B502" s="92"/>
      <c r="C502" s="92"/>
      <c r="D502" s="9"/>
      <c r="E502" s="9"/>
      <c r="F502" s="10"/>
      <c r="G502" s="10"/>
      <c r="H502" s="109"/>
      <c r="I502" s="109"/>
      <c r="L502" s="8"/>
      <c r="M502" s="8"/>
      <c r="N502" s="8"/>
      <c r="O502" s="8"/>
      <c r="P502" s="88"/>
      <c r="Q502" s="88"/>
      <c r="R502" s="88"/>
      <c r="S502" s="88"/>
    </row>
    <row r="503" spans="2:28" ht="12.75" customHeight="1" x14ac:dyDescent="0.25">
      <c r="B503" s="324" t="str">
        <f>IF($C$1="ENG","model","модель")</f>
        <v>модель</v>
      </c>
      <c r="C503" s="95" t="str">
        <f>IF($C$1="ENG","cover:","покриття:")</f>
        <v>покриття:</v>
      </c>
      <c r="D503" s="327" t="str">
        <f>IF($C$1="ENG","ECO-CELL","ECO-CELL")</f>
        <v>ECO-CELL</v>
      </c>
      <c r="E503" s="328"/>
      <c r="F503" s="327" t="str">
        <f>IF($C$1="ENG","ECO-RESIST","ECO-RESIST")</f>
        <v>ECO-RESIST</v>
      </c>
      <c r="G503" s="328"/>
      <c r="H503" s="35"/>
      <c r="I503" s="35"/>
      <c r="J503" s="35"/>
      <c r="K503" s="35"/>
      <c r="L503" s="8"/>
      <c r="M503" s="8"/>
      <c r="N503" s="8"/>
      <c r="O503" s="8"/>
      <c r="P503" s="88"/>
      <c r="Q503" s="88"/>
      <c r="R503" s="88"/>
      <c r="S503" s="88"/>
    </row>
    <row r="504" spans="2:28" ht="12.75" customHeight="1" x14ac:dyDescent="0.25">
      <c r="B504" s="325"/>
      <c r="C504" s="96" t="str">
        <f>IF($C$1="ENG","filling:","заповнення:")</f>
        <v>заповнення:</v>
      </c>
      <c r="D504" s="329" t="str">
        <f>IF($C$1="ENG","MDF","MDF")</f>
        <v>MDF</v>
      </c>
      <c r="E504" s="330"/>
      <c r="F504" s="329" t="str">
        <f>IF($C$1="ENG","MDF","MDF")</f>
        <v>MDF</v>
      </c>
      <c r="G504" s="330"/>
      <c r="H504" s="36"/>
      <c r="I504" s="36"/>
      <c r="J504" s="36"/>
      <c r="K504" s="36"/>
      <c r="L504" s="8"/>
      <c r="M504" s="8"/>
      <c r="N504" s="8"/>
      <c r="O504" s="8"/>
      <c r="P504" s="88"/>
      <c r="Q504" s="88"/>
      <c r="R504" s="88"/>
      <c r="S504" s="88"/>
    </row>
    <row r="505" spans="2:28" ht="12.75" customHeight="1" x14ac:dyDescent="0.25">
      <c r="B505" s="326"/>
      <c r="C505" s="97" t="str">
        <f>IF($C$1="ENG","glazing:","скління:")</f>
        <v>скління:</v>
      </c>
      <c r="D505" s="331" t="str">
        <f>IF($C$1="ENG","Satin","Сатин")</f>
        <v>Сатин</v>
      </c>
      <c r="E505" s="332"/>
      <c r="F505" s="331" t="str">
        <f>IF($C$1="ENG","Satin","Сатин")</f>
        <v>Сатин</v>
      </c>
      <c r="G505" s="332"/>
      <c r="H505" s="36"/>
      <c r="I505" s="36"/>
      <c r="J505" s="36"/>
      <c r="K505" s="36"/>
      <c r="L505" s="11"/>
      <c r="M505" s="11"/>
      <c r="N505" s="11"/>
      <c r="O505" s="11"/>
      <c r="P505" s="11"/>
    </row>
    <row r="506" spans="2:28" ht="34.5" customHeight="1" x14ac:dyDescent="0.25">
      <c r="B506" s="13" t="s">
        <v>24</v>
      </c>
      <c r="C506" s="14"/>
      <c r="D506" s="15">
        <f t="shared" ref="D506:D515" si="40">IF(U506="","",(1-$S$2)*(U506/1.2))</f>
        <v>4200</v>
      </c>
      <c r="E506" s="54">
        <f t="shared" ref="E506:E515" si="41">IF($S$5=0.2,D506*1.2,D506)/$S$4</f>
        <v>5040</v>
      </c>
      <c r="F506" s="15">
        <f>IF(V506="","",(1-$S$2)*(V506/1.2))</f>
        <v>4833.3333333333339</v>
      </c>
      <c r="G506" s="54">
        <f t="shared" ref="G506:G515" si="42">IF($S$5=0.2,F506*1.2,F506)/$S$4</f>
        <v>5800.0000000000009</v>
      </c>
      <c r="H506" s="26"/>
      <c r="I506" s="49"/>
      <c r="J506" s="26"/>
      <c r="K506" s="49"/>
      <c r="L506" s="80"/>
      <c r="M506" s="20"/>
      <c r="N506" s="80"/>
      <c r="O506" s="20"/>
      <c r="P506" s="80"/>
      <c r="Q506" s="20"/>
      <c r="R506" s="80"/>
      <c r="S506" s="20"/>
      <c r="U506" s="286">
        <v>5040</v>
      </c>
      <c r="V506" s="286">
        <v>5800</v>
      </c>
      <c r="W506" s="286"/>
      <c r="X506" s="286"/>
      <c r="Y506" s="286"/>
      <c r="Z506" s="286"/>
      <c r="AA506" s="286"/>
      <c r="AB506" s="286"/>
    </row>
    <row r="507" spans="2:28" ht="34.5" customHeight="1" x14ac:dyDescent="0.25">
      <c r="B507" s="16" t="s">
        <v>25</v>
      </c>
      <c r="C507" s="17"/>
      <c r="D507" s="18">
        <f t="shared" si="40"/>
        <v>4200</v>
      </c>
      <c r="E507" s="56">
        <f t="shared" si="41"/>
        <v>5040</v>
      </c>
      <c r="F507" s="15">
        <f t="shared" ref="F507:F515" si="43">IF(V507="","",(1-$S$2)*(V507/1.2))</f>
        <v>4833.3333333333339</v>
      </c>
      <c r="G507" s="56">
        <f t="shared" si="42"/>
        <v>5800.0000000000009</v>
      </c>
      <c r="H507" s="26"/>
      <c r="I507" s="49"/>
      <c r="J507" s="26"/>
      <c r="K507" s="49"/>
      <c r="L507" s="80"/>
      <c r="M507" s="20"/>
      <c r="N507" s="80"/>
      <c r="O507" s="20"/>
      <c r="P507" s="80"/>
      <c r="Q507" s="20"/>
      <c r="R507" s="80"/>
      <c r="S507" s="20"/>
      <c r="U507" s="286">
        <v>5040</v>
      </c>
      <c r="V507" s="286">
        <v>5800</v>
      </c>
      <c r="W507" s="286"/>
      <c r="X507" s="286"/>
      <c r="Y507" s="286"/>
      <c r="Z507" s="286"/>
      <c r="AA507" s="286"/>
      <c r="AB507" s="286"/>
    </row>
    <row r="508" spans="2:28" ht="34.5" customHeight="1" x14ac:dyDescent="0.25">
      <c r="B508" s="16" t="s">
        <v>26</v>
      </c>
      <c r="C508" s="17"/>
      <c r="D508" s="18">
        <f t="shared" si="40"/>
        <v>4200</v>
      </c>
      <c r="E508" s="56">
        <f t="shared" si="41"/>
        <v>5040</v>
      </c>
      <c r="F508" s="15">
        <f t="shared" si="43"/>
        <v>4833.3333333333339</v>
      </c>
      <c r="G508" s="56">
        <f t="shared" si="42"/>
        <v>5800.0000000000009</v>
      </c>
      <c r="H508" s="26"/>
      <c r="I508" s="49"/>
      <c r="J508" s="26"/>
      <c r="K508" s="49"/>
      <c r="L508" s="80"/>
      <c r="M508" s="20"/>
      <c r="N508" s="80"/>
      <c r="O508" s="20"/>
      <c r="P508" s="80"/>
      <c r="Q508" s="20"/>
      <c r="R508" s="80"/>
      <c r="S508" s="20"/>
      <c r="U508" s="286">
        <v>5040</v>
      </c>
      <c r="V508" s="286">
        <v>5800</v>
      </c>
      <c r="W508" s="286"/>
      <c r="X508" s="286"/>
      <c r="Y508" s="286"/>
      <c r="Z508" s="286"/>
      <c r="AA508" s="286"/>
      <c r="AB508" s="286"/>
    </row>
    <row r="509" spans="2:28" ht="34.5" customHeight="1" x14ac:dyDescent="0.25">
      <c r="B509" s="16" t="s">
        <v>27</v>
      </c>
      <c r="C509" s="17"/>
      <c r="D509" s="18">
        <f t="shared" si="40"/>
        <v>4200</v>
      </c>
      <c r="E509" s="56">
        <f t="shared" si="41"/>
        <v>5040</v>
      </c>
      <c r="F509" s="15">
        <f t="shared" si="43"/>
        <v>4833.3333333333339</v>
      </c>
      <c r="G509" s="56">
        <f t="shared" si="42"/>
        <v>5800.0000000000009</v>
      </c>
      <c r="H509" s="26"/>
      <c r="I509" s="49"/>
      <c r="J509" s="26"/>
      <c r="K509" s="49"/>
      <c r="L509" s="80"/>
      <c r="M509" s="20"/>
      <c r="N509" s="80"/>
      <c r="O509" s="20"/>
      <c r="P509" s="80"/>
      <c r="Q509" s="20"/>
      <c r="R509" s="80"/>
      <c r="S509" s="20"/>
      <c r="U509" s="286">
        <v>5040</v>
      </c>
      <c r="V509" s="286">
        <v>5800</v>
      </c>
      <c r="W509" s="286"/>
      <c r="X509" s="286"/>
      <c r="Y509" s="286"/>
      <c r="Z509" s="286"/>
      <c r="AA509" s="286"/>
      <c r="AB509" s="286"/>
    </row>
    <row r="510" spans="2:28" ht="34.5" customHeight="1" x14ac:dyDescent="0.25">
      <c r="B510" s="16" t="s">
        <v>28</v>
      </c>
      <c r="C510" s="17"/>
      <c r="D510" s="18">
        <f t="shared" si="40"/>
        <v>4200</v>
      </c>
      <c r="E510" s="56">
        <f t="shared" si="41"/>
        <v>5040</v>
      </c>
      <c r="F510" s="15">
        <f t="shared" si="43"/>
        <v>4833.3333333333339</v>
      </c>
      <c r="G510" s="56">
        <f t="shared" si="42"/>
        <v>5800.0000000000009</v>
      </c>
      <c r="H510" s="26"/>
      <c r="I510" s="49"/>
      <c r="J510" s="26"/>
      <c r="K510" s="49"/>
      <c r="L510" s="80"/>
      <c r="M510" s="20"/>
      <c r="N510" s="80"/>
      <c r="O510" s="20"/>
      <c r="P510" s="80"/>
      <c r="Q510" s="20"/>
      <c r="R510" s="80"/>
      <c r="S510" s="20"/>
      <c r="U510" s="286">
        <v>5040</v>
      </c>
      <c r="V510" s="286">
        <v>5800</v>
      </c>
      <c r="W510" s="286"/>
      <c r="X510" s="286"/>
      <c r="Y510" s="286"/>
      <c r="Z510" s="286"/>
      <c r="AA510" s="286"/>
      <c r="AB510" s="286"/>
    </row>
    <row r="511" spans="2:28" ht="34.5" customHeight="1" x14ac:dyDescent="0.25">
      <c r="B511" s="16" t="s">
        <v>29</v>
      </c>
      <c r="C511" s="279"/>
      <c r="D511" s="18">
        <f>IF(U511="","",(1-$S$2)*(U511/1.2))</f>
        <v>4200</v>
      </c>
      <c r="E511" s="56">
        <f>IF($S$5=0.2,D511*1.2,D511)/$S$4</f>
        <v>5040</v>
      </c>
      <c r="F511" s="15">
        <f t="shared" si="43"/>
        <v>4833.3333333333339</v>
      </c>
      <c r="G511" s="56">
        <f t="shared" si="42"/>
        <v>5800.0000000000009</v>
      </c>
      <c r="H511" s="26"/>
      <c r="I511" s="49"/>
      <c r="J511" s="26"/>
      <c r="K511" s="49"/>
      <c r="L511" s="80"/>
      <c r="M511" s="20"/>
      <c r="N511" s="80"/>
      <c r="O511" s="20"/>
      <c r="P511" s="80"/>
      <c r="Q511" s="20"/>
      <c r="R511" s="80"/>
      <c r="S511" s="20"/>
      <c r="U511" s="286">
        <v>5040</v>
      </c>
      <c r="V511" s="286">
        <v>5800</v>
      </c>
      <c r="W511" s="286"/>
      <c r="X511" s="286"/>
      <c r="Y511" s="286"/>
      <c r="Z511" s="286"/>
      <c r="AA511" s="286"/>
      <c r="AB511" s="286"/>
    </row>
    <row r="512" spans="2:28" ht="34.5" customHeight="1" x14ac:dyDescent="0.25">
      <c r="B512" s="16" t="s">
        <v>51</v>
      </c>
      <c r="C512" s="279"/>
      <c r="D512" s="18">
        <f>IF(U512="","",(1-$S$2)*(U512/1.2))</f>
        <v>4200</v>
      </c>
      <c r="E512" s="56">
        <f>IF($S$5=0.2,D512*1.2,D512)/$S$4</f>
        <v>5040</v>
      </c>
      <c r="F512" s="15">
        <f t="shared" si="43"/>
        <v>4833.3333333333339</v>
      </c>
      <c r="G512" s="56">
        <f t="shared" si="42"/>
        <v>5800.0000000000009</v>
      </c>
      <c r="H512" s="26"/>
      <c r="I512" s="49"/>
      <c r="J512" s="26"/>
      <c r="K512" s="49"/>
      <c r="L512" s="80"/>
      <c r="M512" s="20"/>
      <c r="N512" s="80"/>
      <c r="O512" s="20"/>
      <c r="P512" s="80"/>
      <c r="Q512" s="20"/>
      <c r="R512" s="80"/>
      <c r="S512" s="20"/>
      <c r="U512" s="286">
        <v>5040</v>
      </c>
      <c r="V512" s="286">
        <v>5800</v>
      </c>
      <c r="W512" s="286"/>
      <c r="X512" s="286"/>
      <c r="Y512" s="286"/>
      <c r="Z512" s="286"/>
      <c r="AA512" s="286"/>
      <c r="AB512" s="286"/>
    </row>
    <row r="513" spans="2:28" ht="34.5" customHeight="1" x14ac:dyDescent="0.25">
      <c r="B513" s="16" t="s">
        <v>52</v>
      </c>
      <c r="C513" s="279"/>
      <c r="D513" s="18">
        <f>IF(U513="","",(1-$S$2)*(U513/1.2))</f>
        <v>4200</v>
      </c>
      <c r="E513" s="56">
        <f>IF($S$5=0.2,D513*1.2,D513)/$S$4</f>
        <v>5040</v>
      </c>
      <c r="F513" s="15">
        <f t="shared" si="43"/>
        <v>4833.3333333333339</v>
      </c>
      <c r="G513" s="56">
        <f t="shared" si="42"/>
        <v>5800.0000000000009</v>
      </c>
      <c r="H513" s="26"/>
      <c r="I513" s="49"/>
      <c r="J513" s="26"/>
      <c r="K513" s="49"/>
      <c r="L513" s="80"/>
      <c r="M513" s="20"/>
      <c r="N513" s="80"/>
      <c r="O513" s="20"/>
      <c r="P513" s="80"/>
      <c r="Q513" s="20"/>
      <c r="R513" s="80"/>
      <c r="S513" s="20"/>
      <c r="U513" s="286">
        <v>5040</v>
      </c>
      <c r="V513" s="286">
        <v>5800</v>
      </c>
      <c r="W513" s="286"/>
      <c r="X513" s="286"/>
      <c r="Y513" s="286"/>
      <c r="Z513" s="286"/>
      <c r="AA513" s="286"/>
      <c r="AB513" s="286"/>
    </row>
    <row r="514" spans="2:28" ht="34.5" customHeight="1" x14ac:dyDescent="0.25">
      <c r="B514" s="16" t="s">
        <v>53</v>
      </c>
      <c r="C514" s="279"/>
      <c r="D514" s="18">
        <f>IF(U514="","",(1-$S$2)*(U514/1.2))</f>
        <v>4200</v>
      </c>
      <c r="E514" s="56">
        <f>IF($S$5=0.2,D514*1.2,D514)/$S$4</f>
        <v>5040</v>
      </c>
      <c r="F514" s="15">
        <f t="shared" si="43"/>
        <v>4833.3333333333339</v>
      </c>
      <c r="G514" s="56">
        <f t="shared" si="42"/>
        <v>5800.0000000000009</v>
      </c>
      <c r="H514" s="26"/>
      <c r="I514" s="49"/>
      <c r="J514" s="26"/>
      <c r="K514" s="49"/>
      <c r="L514" s="80"/>
      <c r="M514" s="20"/>
      <c r="N514" s="80"/>
      <c r="O514" s="20"/>
      <c r="P514" s="80"/>
      <c r="Q514" s="20"/>
      <c r="R514" s="80"/>
      <c r="S514" s="20"/>
      <c r="U514" s="286">
        <v>5040</v>
      </c>
      <c r="V514" s="286">
        <v>5800</v>
      </c>
      <c r="W514" s="286"/>
      <c r="X514" s="286"/>
      <c r="Y514" s="286"/>
      <c r="Z514" s="286"/>
      <c r="AA514" s="286"/>
      <c r="AB514" s="286"/>
    </row>
    <row r="515" spans="2:28" ht="34.5" customHeight="1" x14ac:dyDescent="0.25">
      <c r="B515" s="21" t="s">
        <v>54</v>
      </c>
      <c r="C515" s="22"/>
      <c r="D515" s="23">
        <f t="shared" si="40"/>
        <v>4200</v>
      </c>
      <c r="E515" s="59">
        <f t="shared" si="41"/>
        <v>5040</v>
      </c>
      <c r="F515" s="15">
        <f t="shared" si="43"/>
        <v>4833.3333333333339</v>
      </c>
      <c r="G515" s="59">
        <f t="shared" si="42"/>
        <v>5800.0000000000009</v>
      </c>
      <c r="H515" s="26"/>
      <c r="I515" s="49"/>
      <c r="J515" s="26"/>
      <c r="K515" s="49"/>
      <c r="L515" s="80"/>
      <c r="M515" s="20"/>
      <c r="N515" s="80"/>
      <c r="O515" s="20"/>
      <c r="P515" s="80"/>
      <c r="Q515" s="20"/>
      <c r="R515" s="80"/>
      <c r="S515" s="20"/>
      <c r="U515" s="286">
        <v>5040</v>
      </c>
      <c r="V515" s="286">
        <v>5800</v>
      </c>
      <c r="W515" s="286"/>
      <c r="X515" s="286"/>
      <c r="Y515" s="286"/>
      <c r="Z515" s="286"/>
      <c r="AA515" s="286"/>
      <c r="AB515" s="286"/>
    </row>
    <row r="516" spans="2:28" ht="12.75" customHeight="1" x14ac:dyDescent="0.25">
      <c r="C516" s="24"/>
      <c r="D516" s="24"/>
      <c r="E516" s="46"/>
      <c r="F516" s="24"/>
      <c r="G516" s="46"/>
      <c r="H516" s="5"/>
    </row>
    <row r="517" spans="2:28" x14ac:dyDescent="0.25">
      <c r="B517" s="155" t="str">
        <f>IF($C$1="ENG","For additonal charge:","Послуги за додаткову плату:")</f>
        <v>Послуги за додаткову плату:</v>
      </c>
      <c r="C517" s="156"/>
      <c r="D517" s="156"/>
      <c r="E517" s="157"/>
      <c r="F517" s="24"/>
      <c r="G517" s="46"/>
      <c r="H517" s="10"/>
      <c r="I517" s="8"/>
      <c r="J517" s="8"/>
      <c r="K517" s="8"/>
    </row>
    <row r="518" spans="2:28" ht="5.0999999999999996" customHeight="1" x14ac:dyDescent="0.25">
      <c r="B518" s="25"/>
      <c r="C518" s="24"/>
      <c r="D518" s="24"/>
      <c r="E518" s="46"/>
      <c r="F518" s="24"/>
      <c r="G518" s="24"/>
      <c r="H518" s="10"/>
      <c r="I518" s="8"/>
      <c r="J518" s="8"/>
      <c r="K518" s="8"/>
    </row>
    <row r="519" spans="2:28" x14ac:dyDescent="0.25">
      <c r="B519" s="317" t="str">
        <f>IF($C$1="ENG","door leaf with width 100","полотно розміром 100")</f>
        <v>полотно розміром 100</v>
      </c>
      <c r="C519" s="318"/>
      <c r="D519" s="100">
        <f t="shared" ref="D519:D521" si="44">IF(U519="","",(1-$S$2)*(U519/1.2))</f>
        <v>708.33333333333337</v>
      </c>
      <c r="E519" s="73">
        <f>IF($S$5=0.2,D519*1.2,D519)/$S$4</f>
        <v>850</v>
      </c>
      <c r="F519" s="24"/>
      <c r="G519" s="24"/>
      <c r="H519" s="10"/>
      <c r="I519" s="8"/>
      <c r="J519" s="8"/>
      <c r="K519" s="8"/>
      <c r="U519" s="286">
        <v>850</v>
      </c>
      <c r="V519" s="286"/>
      <c r="W519" s="286"/>
      <c r="X519" s="286"/>
      <c r="Y519" s="286"/>
      <c r="Z519" s="286"/>
      <c r="AA519" s="286"/>
      <c r="AB519" s="286"/>
    </row>
    <row r="520" spans="2:28" x14ac:dyDescent="0.25">
      <c r="B520" s="319" t="str">
        <f>IF($C$1="ENG","Ventilation sleeves (1 row)","вентиляційні віддушини (1 ряд)")</f>
        <v>вентиляційні віддушини (1 ряд)</v>
      </c>
      <c r="C520" s="320"/>
      <c r="D520" s="101">
        <f t="shared" si="44"/>
        <v>241.66666666666669</v>
      </c>
      <c r="E520" s="74">
        <f>IF($S$5=0.2,D520*1.2,D520)/$S$4</f>
        <v>290</v>
      </c>
      <c r="F520" s="24"/>
      <c r="G520" s="24"/>
      <c r="I520" s="11"/>
      <c r="J520" s="11"/>
      <c r="K520" s="11"/>
      <c r="U520" s="286">
        <v>290</v>
      </c>
      <c r="V520" s="286"/>
      <c r="W520" s="286"/>
      <c r="X520" s="286"/>
      <c r="Y520" s="286"/>
      <c r="Z520" s="286"/>
      <c r="AA520" s="286"/>
      <c r="AB520" s="286"/>
    </row>
    <row r="521" spans="2:28" x14ac:dyDescent="0.25">
      <c r="B521" s="319" t="str">
        <f>IF($C$1="ENG","Ventilation undercut","вентиляційний підріз")</f>
        <v>вентиляційний підріз</v>
      </c>
      <c r="C521" s="320"/>
      <c r="D521" s="79">
        <f t="shared" si="44"/>
        <v>162.5</v>
      </c>
      <c r="E521" s="74">
        <f>IF($S$5=0.2,D521*1.2,D521)/$S$4</f>
        <v>195</v>
      </c>
      <c r="F521" s="24"/>
      <c r="G521" s="24"/>
      <c r="H521" s="5"/>
      <c r="U521" s="286">
        <v>195</v>
      </c>
      <c r="V521" s="286"/>
      <c r="W521" s="286"/>
      <c r="X521" s="286"/>
      <c r="Y521" s="286"/>
      <c r="Z521" s="286"/>
      <c r="AA521" s="286"/>
      <c r="AB521" s="286"/>
    </row>
    <row r="522" spans="2:28" x14ac:dyDescent="0.25">
      <c r="B522" s="319" t="str">
        <f>IF($C$1="ENG","door handle-lock (for sliding doors)","ручка-замок (для дверей купе)")</f>
        <v>ручка-замок (для дверей купе)</v>
      </c>
      <c r="C522" s="320"/>
      <c r="D522" s="101">
        <f>IF(U522="","",(1-$S$2)*(U522/1.2))</f>
        <v>533.33333333333337</v>
      </c>
      <c r="E522" s="74">
        <f>IF($S$5=0.2,D522*1.2,D522)/$S$4</f>
        <v>640</v>
      </c>
      <c r="F522" s="24"/>
      <c r="G522" s="24"/>
      <c r="I522" s="11"/>
      <c r="J522" s="11"/>
      <c r="K522" s="19"/>
      <c r="U522" s="286">
        <v>640</v>
      </c>
      <c r="V522" s="286"/>
      <c r="W522" s="286"/>
      <c r="X522" s="286"/>
      <c r="Y522" s="286"/>
      <c r="Z522" s="286"/>
      <c r="AA522" s="286"/>
      <c r="AB522" s="286"/>
    </row>
    <row r="523" spans="2:28" x14ac:dyDescent="0.25">
      <c r="B523" s="319" t="str">
        <f>IF($C$1="ENG","door hinge caps (1 set)","накладка на завіси (1 к-т)")</f>
        <v>накладка на завіси (1 к-т)</v>
      </c>
      <c r="C523" s="320"/>
      <c r="D523" s="103">
        <f>IF(U523="","",(1-$S$2)*(U523/1.2))</f>
        <v>75</v>
      </c>
      <c r="E523" s="74">
        <f>IF($S$5=0.2,D523*1.2,D523)/$S$4</f>
        <v>90</v>
      </c>
      <c r="F523" s="24"/>
      <c r="G523" s="24"/>
      <c r="U523" s="286">
        <v>90</v>
      </c>
      <c r="V523" s="286"/>
      <c r="W523" s="286"/>
      <c r="X523" s="286"/>
      <c r="Y523" s="286"/>
      <c r="Z523" s="286"/>
      <c r="AA523" s="286"/>
      <c r="AB523" s="286"/>
    </row>
    <row r="524" spans="2:28" x14ac:dyDescent="0.25">
      <c r="B524" s="319" t="str">
        <f>IF($C$1="ENG","door handle","дверна ручка")</f>
        <v>дверна ручка</v>
      </c>
      <c r="C524" s="320"/>
      <c r="D524" s="102" t="str">
        <f>IF(U524="","",(1-$S$2)*(U524/1.2))</f>
        <v/>
      </c>
      <c r="E524" s="180" t="str">
        <f>IF($C$1="ENG","see Handles Price","див.Таблицю Ручки")</f>
        <v>див.Таблицю Ручки</v>
      </c>
      <c r="F524" s="24"/>
      <c r="G524" s="24"/>
      <c r="U524" s="286"/>
      <c r="V524" s="286"/>
      <c r="W524" s="286"/>
      <c r="X524" s="286"/>
      <c r="Y524" s="286"/>
      <c r="Z524" s="286"/>
      <c r="AA524" s="286"/>
      <c r="AB524" s="286"/>
    </row>
    <row r="525" spans="2:28" ht="14.25" customHeight="1" x14ac:dyDescent="0.25">
      <c r="C525" s="24"/>
      <c r="D525" s="24"/>
      <c r="E525" s="24"/>
      <c r="F525" s="24"/>
      <c r="G525" s="24"/>
      <c r="H525" s="5"/>
      <c r="P525" s="333" t="str">
        <f>IF($C$1="ENG",CONCATENATE("down to: ",B575),CONCATENATE("вниз до: ",B575))</f>
        <v>вниз до: Полотна збірні: ECO-GRANDE</v>
      </c>
      <c r="Q525" s="333"/>
      <c r="R525" s="333"/>
      <c r="S525" s="333"/>
    </row>
    <row r="526" spans="2:28" ht="14.25" customHeight="1" x14ac:dyDescent="0.25">
      <c r="C526" s="24"/>
      <c r="D526" s="24"/>
      <c r="E526" s="24"/>
      <c r="F526" s="24"/>
      <c r="G526" s="24"/>
      <c r="H526" s="5"/>
    </row>
    <row r="527" spans="2:28" ht="14.25" customHeight="1" x14ac:dyDescent="0.25">
      <c r="C527" s="24"/>
      <c r="D527" s="24"/>
      <c r="E527" s="24"/>
      <c r="F527" s="24"/>
      <c r="G527" s="24"/>
      <c r="H527" s="5"/>
    </row>
    <row r="528" spans="2:28" ht="14.25" customHeight="1" x14ac:dyDescent="0.25">
      <c r="C528" s="24"/>
      <c r="D528" s="24"/>
      <c r="E528" s="24"/>
      <c r="F528" s="24"/>
      <c r="G528" s="24"/>
      <c r="H528" s="5"/>
    </row>
    <row r="529" spans="3:8" ht="14.25" customHeight="1" x14ac:dyDescent="0.25">
      <c r="C529" s="24"/>
      <c r="D529" s="24"/>
      <c r="E529" s="24"/>
      <c r="F529" s="24"/>
      <c r="G529" s="24"/>
      <c r="H529" s="5"/>
    </row>
    <row r="530" spans="3:8" ht="14.25" customHeight="1" x14ac:dyDescent="0.25">
      <c r="C530" s="24"/>
      <c r="D530" s="24"/>
      <c r="E530" s="24"/>
      <c r="F530" s="24"/>
      <c r="G530" s="24"/>
      <c r="H530" s="5"/>
    </row>
    <row r="531" spans="3:8" ht="14.25" customHeight="1" x14ac:dyDescent="0.25">
      <c r="C531" s="24"/>
      <c r="D531" s="24"/>
      <c r="E531" s="24"/>
      <c r="F531" s="24"/>
      <c r="G531" s="24"/>
      <c r="H531" s="5"/>
    </row>
    <row r="532" spans="3:8" ht="14.25" customHeight="1" x14ac:dyDescent="0.25">
      <c r="C532" s="24"/>
      <c r="D532" s="24"/>
      <c r="E532" s="24"/>
      <c r="F532" s="24"/>
      <c r="G532" s="24"/>
      <c r="H532" s="5"/>
    </row>
    <row r="533" spans="3:8" ht="14.25" customHeight="1" x14ac:dyDescent="0.25">
      <c r="C533" s="24"/>
      <c r="D533" s="24"/>
      <c r="E533" s="24"/>
      <c r="F533" s="24"/>
      <c r="G533" s="24"/>
      <c r="H533" s="5"/>
    </row>
    <row r="534" spans="3:8" ht="14.25" customHeight="1" x14ac:dyDescent="0.25">
      <c r="C534" s="24"/>
      <c r="D534" s="24"/>
      <c r="E534" s="24"/>
      <c r="F534" s="24"/>
      <c r="G534" s="24"/>
      <c r="H534" s="5"/>
    </row>
    <row r="535" spans="3:8" ht="14.25" customHeight="1" x14ac:dyDescent="0.25">
      <c r="C535" s="24"/>
      <c r="D535" s="24"/>
      <c r="E535" s="24"/>
      <c r="F535" s="24"/>
      <c r="G535" s="24"/>
      <c r="H535" s="5"/>
    </row>
    <row r="536" spans="3:8" ht="14.25" customHeight="1" x14ac:dyDescent="0.25">
      <c r="C536" s="24"/>
      <c r="D536" s="24"/>
      <c r="E536" s="24"/>
      <c r="F536" s="24"/>
      <c r="G536" s="24"/>
      <c r="H536" s="5"/>
    </row>
    <row r="537" spans="3:8" ht="14.25" customHeight="1" x14ac:dyDescent="0.25">
      <c r="C537" s="24"/>
      <c r="D537" s="24"/>
      <c r="E537" s="24"/>
      <c r="F537" s="24"/>
      <c r="G537" s="24"/>
      <c r="H537" s="5"/>
    </row>
    <row r="538" spans="3:8" ht="14.25" customHeight="1" x14ac:dyDescent="0.25">
      <c r="C538" s="24"/>
      <c r="D538" s="24"/>
      <c r="E538" s="24"/>
      <c r="F538" s="24"/>
      <c r="G538" s="24"/>
      <c r="H538" s="5"/>
    </row>
    <row r="539" spans="3:8" ht="14.25" customHeight="1" x14ac:dyDescent="0.25">
      <c r="C539" s="24"/>
      <c r="D539" s="24"/>
      <c r="E539" s="24"/>
      <c r="F539" s="24"/>
      <c r="G539" s="24"/>
      <c r="H539" s="5"/>
    </row>
    <row r="540" spans="3:8" ht="14.25" customHeight="1" x14ac:dyDescent="0.25">
      <c r="C540" s="24"/>
      <c r="D540" s="24"/>
      <c r="E540" s="24"/>
      <c r="F540" s="24"/>
      <c r="G540" s="24"/>
      <c r="H540" s="5"/>
    </row>
    <row r="541" spans="3:8" ht="14.25" customHeight="1" x14ac:dyDescent="0.25">
      <c r="C541" s="24"/>
      <c r="D541" s="24"/>
      <c r="E541" s="24"/>
      <c r="F541" s="24"/>
      <c r="G541" s="24"/>
      <c r="H541" s="5"/>
    </row>
    <row r="542" spans="3:8" ht="14.25" customHeight="1" x14ac:dyDescent="0.25">
      <c r="C542" s="24"/>
      <c r="D542" s="24"/>
      <c r="E542" s="24"/>
      <c r="F542" s="24"/>
      <c r="G542" s="24"/>
      <c r="H542" s="5"/>
    </row>
    <row r="543" spans="3:8" ht="14.25" customHeight="1" x14ac:dyDescent="0.25">
      <c r="C543" s="24"/>
      <c r="D543" s="24"/>
      <c r="E543" s="24"/>
      <c r="F543" s="24"/>
      <c r="G543" s="24"/>
      <c r="H543" s="5"/>
    </row>
    <row r="544" spans="3:8" ht="14.25" customHeight="1" x14ac:dyDescent="0.25">
      <c r="C544" s="24"/>
      <c r="D544" s="24"/>
      <c r="E544" s="24"/>
      <c r="F544" s="24"/>
      <c r="G544" s="24"/>
      <c r="H544" s="5"/>
    </row>
    <row r="545" spans="3:8" ht="14.25" customHeight="1" x14ac:dyDescent="0.25">
      <c r="C545" s="24"/>
      <c r="D545" s="24"/>
      <c r="E545" s="24"/>
      <c r="F545" s="24"/>
      <c r="G545" s="24"/>
      <c r="H545" s="5"/>
    </row>
    <row r="546" spans="3:8" ht="14.25" customHeight="1" x14ac:dyDescent="0.25">
      <c r="C546" s="24"/>
      <c r="D546" s="24"/>
      <c r="E546" s="24"/>
      <c r="F546" s="24"/>
      <c r="G546" s="24"/>
      <c r="H546" s="5"/>
    </row>
    <row r="547" spans="3:8" ht="14.25" customHeight="1" x14ac:dyDescent="0.25">
      <c r="C547" s="24"/>
      <c r="D547" s="24"/>
      <c r="E547" s="24"/>
      <c r="F547" s="24"/>
      <c r="G547" s="24"/>
      <c r="H547" s="5"/>
    </row>
    <row r="548" spans="3:8" ht="14.25" customHeight="1" x14ac:dyDescent="0.25">
      <c r="C548" s="24"/>
      <c r="D548" s="24"/>
      <c r="E548" s="24"/>
      <c r="F548" s="24"/>
      <c r="G548" s="24"/>
      <c r="H548" s="5"/>
    </row>
    <row r="549" spans="3:8" ht="14.25" customHeight="1" x14ac:dyDescent="0.25">
      <c r="C549" s="24"/>
      <c r="D549" s="24"/>
      <c r="E549" s="24"/>
      <c r="F549" s="24"/>
      <c r="G549" s="24"/>
      <c r="H549" s="5"/>
    </row>
    <row r="550" spans="3:8" ht="14.25" customHeight="1" x14ac:dyDescent="0.25">
      <c r="C550" s="24"/>
      <c r="D550" s="24"/>
      <c r="E550" s="24"/>
      <c r="F550" s="24"/>
      <c r="G550" s="24"/>
      <c r="H550" s="5"/>
    </row>
    <row r="551" spans="3:8" ht="14.25" customHeight="1" x14ac:dyDescent="0.25">
      <c r="C551" s="24"/>
      <c r="D551" s="24"/>
      <c r="E551" s="24"/>
      <c r="F551" s="24"/>
      <c r="G551" s="24"/>
      <c r="H551" s="5"/>
    </row>
    <row r="552" spans="3:8" ht="14.25" customHeight="1" x14ac:dyDescent="0.25">
      <c r="C552" s="24"/>
      <c r="D552" s="24"/>
      <c r="E552" s="24"/>
      <c r="F552" s="24"/>
      <c r="G552" s="24"/>
      <c r="H552" s="5"/>
    </row>
    <row r="553" spans="3:8" ht="14.25" customHeight="1" x14ac:dyDescent="0.25">
      <c r="C553" s="24"/>
      <c r="D553" s="24"/>
      <c r="E553" s="24"/>
      <c r="F553" s="24"/>
      <c r="G553" s="24"/>
      <c r="H553" s="5"/>
    </row>
    <row r="554" spans="3:8" ht="14.25" customHeight="1" x14ac:dyDescent="0.25">
      <c r="C554" s="24"/>
      <c r="D554" s="24"/>
      <c r="E554" s="24"/>
      <c r="F554" s="24"/>
      <c r="G554" s="24"/>
      <c r="H554" s="5"/>
    </row>
    <row r="555" spans="3:8" ht="14.25" customHeight="1" x14ac:dyDescent="0.25">
      <c r="C555" s="24"/>
      <c r="D555" s="24"/>
      <c r="E555" s="24"/>
      <c r="F555" s="24"/>
      <c r="G555" s="24"/>
      <c r="H555" s="5"/>
    </row>
    <row r="556" spans="3:8" ht="14.25" customHeight="1" x14ac:dyDescent="0.25">
      <c r="C556" s="24"/>
      <c r="D556" s="24"/>
      <c r="E556" s="24"/>
      <c r="F556" s="24"/>
      <c r="G556" s="24"/>
      <c r="H556" s="5"/>
    </row>
    <row r="557" spans="3:8" ht="14.25" customHeight="1" x14ac:dyDescent="0.25">
      <c r="C557" s="24"/>
      <c r="D557" s="24"/>
      <c r="E557" s="24"/>
      <c r="F557" s="24"/>
      <c r="G557" s="24"/>
      <c r="H557" s="5"/>
    </row>
    <row r="558" spans="3:8" ht="14.25" customHeight="1" x14ac:dyDescent="0.25">
      <c r="C558" s="24"/>
      <c r="D558" s="24"/>
      <c r="E558" s="24"/>
      <c r="F558" s="24"/>
      <c r="G558" s="24"/>
      <c r="H558" s="5"/>
    </row>
    <row r="559" spans="3:8" ht="14.25" customHeight="1" x14ac:dyDescent="0.25">
      <c r="C559" s="24"/>
      <c r="D559" s="24"/>
      <c r="E559" s="24"/>
      <c r="F559" s="24"/>
      <c r="G559" s="24"/>
      <c r="H559" s="5"/>
    </row>
    <row r="560" spans="3:8" ht="14.25" customHeight="1" x14ac:dyDescent="0.25">
      <c r="C560" s="24"/>
      <c r="D560" s="24"/>
      <c r="E560" s="24"/>
      <c r="F560" s="24"/>
      <c r="G560" s="24"/>
      <c r="H560" s="5"/>
    </row>
    <row r="561" spans="2:19" ht="14.25" customHeight="1" x14ac:dyDescent="0.25">
      <c r="C561" s="24"/>
      <c r="D561" s="24"/>
      <c r="E561" s="24"/>
      <c r="F561" s="24"/>
      <c r="G561" s="24"/>
      <c r="H561" s="5"/>
    </row>
    <row r="562" spans="2:19" ht="14.25" customHeight="1" x14ac:dyDescent="0.25">
      <c r="C562" s="24"/>
      <c r="D562" s="24"/>
      <c r="E562" s="24"/>
      <c r="F562" s="24"/>
      <c r="G562" s="24"/>
      <c r="H562" s="5"/>
    </row>
    <row r="563" spans="2:19" ht="14.25" customHeight="1" x14ac:dyDescent="0.25">
      <c r="C563" s="24"/>
      <c r="D563" s="24"/>
      <c r="E563" s="24"/>
      <c r="F563" s="24"/>
      <c r="G563" s="24"/>
      <c r="H563" s="5"/>
    </row>
    <row r="564" spans="2:19" ht="14.25" customHeight="1" x14ac:dyDescent="0.25">
      <c r="C564" s="24"/>
      <c r="D564" s="24"/>
      <c r="E564" s="24"/>
      <c r="F564" s="24"/>
      <c r="G564" s="24"/>
      <c r="H564" s="5"/>
    </row>
    <row r="565" spans="2:19" ht="14.25" customHeight="1" x14ac:dyDescent="0.25">
      <c r="C565" s="24"/>
      <c r="D565" s="24"/>
      <c r="E565" s="24"/>
      <c r="F565" s="24"/>
      <c r="G565" s="24"/>
      <c r="H565" s="5"/>
    </row>
    <row r="566" spans="2:19" ht="14.25" customHeight="1" x14ac:dyDescent="0.25">
      <c r="C566" s="24"/>
      <c r="D566" s="24"/>
      <c r="E566" s="24"/>
      <c r="F566" s="24"/>
      <c r="G566" s="24"/>
      <c r="H566" s="5"/>
    </row>
    <row r="567" spans="2:19" ht="14.25" customHeight="1" x14ac:dyDescent="0.25">
      <c r="C567" s="24"/>
      <c r="D567" s="24"/>
      <c r="E567" s="24"/>
      <c r="F567" s="24"/>
      <c r="G567" s="24"/>
      <c r="H567" s="5"/>
    </row>
    <row r="568" spans="2:19" ht="14.25" customHeight="1" x14ac:dyDescent="0.25">
      <c r="C568" s="24"/>
      <c r="D568" s="24"/>
      <c r="E568" s="24"/>
      <c r="F568" s="24"/>
      <c r="G568" s="24"/>
      <c r="H568" s="5"/>
    </row>
    <row r="569" spans="2:19" ht="14.25" customHeight="1" x14ac:dyDescent="0.25">
      <c r="C569" s="24"/>
      <c r="D569" s="24"/>
      <c r="E569" s="24"/>
      <c r="F569" s="24"/>
      <c r="G569" s="24"/>
      <c r="H569" s="5"/>
    </row>
    <row r="570" spans="2:19" ht="14.25" customHeight="1" x14ac:dyDescent="0.25">
      <c r="C570" s="24"/>
      <c r="D570" s="24"/>
      <c r="E570" s="24"/>
      <c r="F570" s="24"/>
      <c r="G570" s="24"/>
      <c r="H570" s="5"/>
    </row>
    <row r="571" spans="2:19" ht="14.25" customHeight="1" x14ac:dyDescent="0.25">
      <c r="C571" s="24"/>
      <c r="D571" s="24"/>
      <c r="E571" s="24"/>
      <c r="F571" s="24"/>
      <c r="G571" s="24"/>
      <c r="H571" s="5"/>
    </row>
    <row r="572" spans="2:19" ht="14.25" customHeight="1" x14ac:dyDescent="0.25">
      <c r="C572" s="24"/>
      <c r="D572" s="24"/>
      <c r="E572" s="24"/>
      <c r="F572" s="24"/>
      <c r="G572" s="24"/>
      <c r="H572" s="5"/>
    </row>
    <row r="573" spans="2:19" ht="14.25" customHeight="1" x14ac:dyDescent="0.25">
      <c r="C573" s="24"/>
      <c r="D573" s="24"/>
      <c r="E573" s="24"/>
      <c r="F573" s="24"/>
      <c r="G573" s="24"/>
      <c r="H573" s="5"/>
    </row>
    <row r="574" spans="2:19" ht="14.25" customHeight="1" x14ac:dyDescent="0.25">
      <c r="C574" s="24"/>
      <c r="D574" s="24"/>
      <c r="E574" s="24"/>
      <c r="F574" s="24"/>
      <c r="G574" s="24"/>
      <c r="H574" s="5"/>
    </row>
    <row r="575" spans="2:19" ht="12.75" customHeight="1" x14ac:dyDescent="0.25">
      <c r="B575" s="321" t="str">
        <f>TITLE!C17</f>
        <v>Полотна збірні: ECO-GRANDE</v>
      </c>
      <c r="C575" s="321"/>
      <c r="D575" s="93"/>
      <c r="E575" s="277"/>
      <c r="F575" s="93"/>
      <c r="G575" s="93"/>
      <c r="H575" s="322"/>
      <c r="I575" s="322"/>
      <c r="J575" s="94"/>
      <c r="K575" s="94"/>
      <c r="L575" s="94"/>
      <c r="M575" s="94"/>
      <c r="N575" s="94"/>
      <c r="O575" s="323" t="str">
        <f>IF($C$1="ENG",CONCATENATE("up to: ",B501),CONCATENATE("вгору до: ",B501))</f>
        <v>вгору до: Полотна збірні: ECO-BERGAMO</v>
      </c>
      <c r="P575" s="342"/>
      <c r="Q575" s="342"/>
      <c r="R575" s="342"/>
      <c r="S575" s="342"/>
    </row>
    <row r="576" spans="2:19" ht="4.5" customHeight="1" x14ac:dyDescent="0.25">
      <c r="B576" s="92"/>
      <c r="C576" s="92"/>
      <c r="D576" s="9"/>
      <c r="E576" s="9"/>
      <c r="F576" s="10"/>
      <c r="G576" s="10"/>
      <c r="H576" s="109"/>
      <c r="I576" s="109"/>
      <c r="L576" s="8"/>
      <c r="M576" s="8"/>
      <c r="N576" s="8"/>
      <c r="O576" s="8"/>
      <c r="P576" s="88"/>
      <c r="Q576" s="88"/>
      <c r="R576" s="88"/>
      <c r="S576" s="88"/>
    </row>
    <row r="577" spans="2:28" ht="12.75" customHeight="1" x14ac:dyDescent="0.25">
      <c r="B577" s="324" t="str">
        <f>IF($C$1="ENG","model","модель")</f>
        <v>модель</v>
      </c>
      <c r="C577" s="95" t="str">
        <f>IF($C$1="ENG","cover:","покриття:")</f>
        <v>покриття:</v>
      </c>
      <c r="D577" s="327" t="str">
        <f>IF($C$1="ENG","ECO-CELL","ECO-CELL")</f>
        <v>ECO-CELL</v>
      </c>
      <c r="E577" s="328"/>
      <c r="F577" s="327" t="str">
        <f>IF($C$1="ENG","ECO-RESIST","ECO-RESIST")</f>
        <v>ECO-RESIST</v>
      </c>
      <c r="G577" s="328"/>
      <c r="H577" s="35"/>
      <c r="I577" s="35"/>
      <c r="J577" s="35"/>
      <c r="K577" s="35"/>
      <c r="L577" s="8"/>
      <c r="M577" s="8"/>
      <c r="N577" s="8"/>
      <c r="O577" s="8"/>
      <c r="P577" s="88"/>
      <c r="Q577" s="88"/>
      <c r="R577" s="88"/>
      <c r="S577" s="88"/>
    </row>
    <row r="578" spans="2:28" ht="12.75" customHeight="1" x14ac:dyDescent="0.25">
      <c r="B578" s="325"/>
      <c r="C578" s="96" t="str">
        <f>IF($C$1="ENG","filling:","заповнення:")</f>
        <v>заповнення:</v>
      </c>
      <c r="D578" s="329" t="str">
        <f>IF($C$1="ENG","MDF","MDF")</f>
        <v>MDF</v>
      </c>
      <c r="E578" s="330"/>
      <c r="F578" s="329" t="str">
        <f>IF($C$1="ENG","MDF","MDF")</f>
        <v>MDF</v>
      </c>
      <c r="G578" s="330"/>
      <c r="H578" s="36"/>
      <c r="I578" s="36"/>
      <c r="J578" s="36"/>
      <c r="K578" s="36"/>
      <c r="L578" s="8"/>
      <c r="M578" s="8"/>
      <c r="N578" s="8"/>
      <c r="O578" s="8"/>
      <c r="P578" s="88"/>
      <c r="Q578" s="88"/>
      <c r="R578" s="88"/>
      <c r="S578" s="88"/>
    </row>
    <row r="579" spans="2:28" ht="12.75" customHeight="1" x14ac:dyDescent="0.25">
      <c r="B579" s="326"/>
      <c r="C579" s="97" t="str">
        <f>IF($C$1="ENG","glazing:","скління:")</f>
        <v>скління:</v>
      </c>
      <c r="D579" s="331" t="str">
        <f>IF($C$1="ENG","Satin","Сатин")</f>
        <v>Сатин</v>
      </c>
      <c r="E579" s="332"/>
      <c r="F579" s="331" t="str">
        <f>IF($C$1="ENG","Satin","Сатин")</f>
        <v>Сатин</v>
      </c>
      <c r="G579" s="332"/>
      <c r="H579" s="36"/>
      <c r="I579" s="36"/>
      <c r="J579" s="36"/>
      <c r="K579" s="36"/>
      <c r="L579" s="11"/>
      <c r="M579" s="11"/>
      <c r="N579" s="11"/>
      <c r="O579" s="11"/>
      <c r="P579" s="11"/>
    </row>
    <row r="580" spans="2:28" ht="34.5" customHeight="1" x14ac:dyDescent="0.25">
      <c r="B580" s="13" t="s">
        <v>30</v>
      </c>
      <c r="C580" s="14"/>
      <c r="D580" s="15">
        <f t="shared" ref="D580:D589" si="45">IF(U580="","",(1-$S$2)*(U580/1.2))</f>
        <v>4391.666666666667</v>
      </c>
      <c r="E580" s="54">
        <f t="shared" ref="E580:E589" si="46">IF($S$5=0.2,D580*1.2,D580)/$S$4</f>
        <v>5270</v>
      </c>
      <c r="F580" s="15">
        <f>IF(V580="","",(1-$S$2)*(V580/1.2))</f>
        <v>5091.666666666667</v>
      </c>
      <c r="G580" s="54">
        <f t="shared" ref="G580:G589" si="47">IF($S$5=0.2,F580*1.2,F580)/$S$4</f>
        <v>6110</v>
      </c>
      <c r="H580" s="26"/>
      <c r="I580" s="49"/>
      <c r="J580" s="26"/>
      <c r="K580" s="49"/>
      <c r="L580" s="80"/>
      <c r="M580" s="20"/>
      <c r="N580" s="80"/>
      <c r="O580" s="20"/>
      <c r="P580" s="80"/>
      <c r="Q580" s="20"/>
      <c r="R580" s="80"/>
      <c r="S580" s="20"/>
      <c r="U580" s="286">
        <v>5270</v>
      </c>
      <c r="V580" s="286">
        <v>6110</v>
      </c>
      <c r="W580" s="286"/>
      <c r="X580" s="286"/>
      <c r="Y580" s="286"/>
      <c r="Z580" s="286"/>
      <c r="AA580" s="286"/>
      <c r="AB580" s="286"/>
    </row>
    <row r="581" spans="2:28" ht="34.5" customHeight="1" x14ac:dyDescent="0.25">
      <c r="B581" s="16" t="s">
        <v>31</v>
      </c>
      <c r="C581" s="17"/>
      <c r="D581" s="18">
        <f t="shared" si="45"/>
        <v>4391.666666666667</v>
      </c>
      <c r="E581" s="56">
        <f t="shared" si="46"/>
        <v>5270</v>
      </c>
      <c r="F581" s="15">
        <f t="shared" ref="F581:F589" si="48">IF(V581="","",(1-$S$2)*(V581/1.2))</f>
        <v>5091.666666666667</v>
      </c>
      <c r="G581" s="56">
        <f t="shared" si="47"/>
        <v>6110</v>
      </c>
      <c r="H581" s="26"/>
      <c r="I581" s="49"/>
      <c r="J581" s="26"/>
      <c r="K581" s="49"/>
      <c r="L581" s="80"/>
      <c r="M581" s="20"/>
      <c r="N581" s="80"/>
      <c r="O581" s="20"/>
      <c r="P581" s="80"/>
      <c r="Q581" s="20"/>
      <c r="R581" s="80"/>
      <c r="S581" s="20"/>
      <c r="U581" s="286">
        <v>5270</v>
      </c>
      <c r="V581" s="286">
        <v>6110</v>
      </c>
      <c r="W581" s="286"/>
      <c r="X581" s="286"/>
      <c r="Y581" s="286"/>
      <c r="Z581" s="286"/>
      <c r="AA581" s="286"/>
      <c r="AB581" s="286"/>
    </row>
    <row r="582" spans="2:28" ht="34.5" customHeight="1" x14ac:dyDescent="0.25">
      <c r="B582" s="16" t="s">
        <v>32</v>
      </c>
      <c r="C582" s="17"/>
      <c r="D582" s="18">
        <f t="shared" si="45"/>
        <v>4391.666666666667</v>
      </c>
      <c r="E582" s="56">
        <f t="shared" si="46"/>
        <v>5270</v>
      </c>
      <c r="F582" s="15">
        <f t="shared" si="48"/>
        <v>5091.666666666667</v>
      </c>
      <c r="G582" s="56">
        <f t="shared" si="47"/>
        <v>6110</v>
      </c>
      <c r="H582" s="26"/>
      <c r="I582" s="49"/>
      <c r="J582" s="26"/>
      <c r="K582" s="49"/>
      <c r="L582" s="80"/>
      <c r="M582" s="20"/>
      <c r="N582" s="80"/>
      <c r="O582" s="20"/>
      <c r="P582" s="80"/>
      <c r="Q582" s="20"/>
      <c r="R582" s="80"/>
      <c r="S582" s="20"/>
      <c r="U582" s="286">
        <v>5270</v>
      </c>
      <c r="V582" s="286">
        <v>6110</v>
      </c>
      <c r="W582" s="286"/>
      <c r="X582" s="286"/>
      <c r="Y582" s="286"/>
      <c r="Z582" s="286"/>
      <c r="AA582" s="286"/>
      <c r="AB582" s="286"/>
    </row>
    <row r="583" spans="2:28" ht="34.5" customHeight="1" x14ac:dyDescent="0.25">
      <c r="B583" s="16" t="s">
        <v>33</v>
      </c>
      <c r="C583" s="17"/>
      <c r="D583" s="18">
        <f t="shared" si="45"/>
        <v>4391.666666666667</v>
      </c>
      <c r="E583" s="56">
        <f t="shared" si="46"/>
        <v>5270</v>
      </c>
      <c r="F583" s="15">
        <f t="shared" si="48"/>
        <v>5091.666666666667</v>
      </c>
      <c r="G583" s="56">
        <f t="shared" si="47"/>
        <v>6110</v>
      </c>
      <c r="H583" s="26"/>
      <c r="I583" s="49"/>
      <c r="J583" s="26"/>
      <c r="K583" s="49"/>
      <c r="L583" s="80"/>
      <c r="M583" s="20"/>
      <c r="N583" s="80"/>
      <c r="O583" s="20"/>
      <c r="P583" s="80"/>
      <c r="Q583" s="20"/>
      <c r="R583" s="80"/>
      <c r="S583" s="20"/>
      <c r="U583" s="286">
        <v>5270</v>
      </c>
      <c r="V583" s="286">
        <v>6110</v>
      </c>
      <c r="W583" s="286"/>
      <c r="X583" s="286"/>
      <c r="Y583" s="286"/>
      <c r="Z583" s="286"/>
      <c r="AA583" s="286"/>
      <c r="AB583" s="286"/>
    </row>
    <row r="584" spans="2:28" ht="34.5" customHeight="1" x14ac:dyDescent="0.25">
      <c r="B584" s="16" t="s">
        <v>34</v>
      </c>
      <c r="C584" s="17"/>
      <c r="D584" s="18">
        <f t="shared" si="45"/>
        <v>4391.666666666667</v>
      </c>
      <c r="E584" s="56">
        <f t="shared" si="46"/>
        <v>5270</v>
      </c>
      <c r="F584" s="15">
        <f t="shared" si="48"/>
        <v>5091.666666666667</v>
      </c>
      <c r="G584" s="56">
        <f t="shared" si="47"/>
        <v>6110</v>
      </c>
      <c r="H584" s="26"/>
      <c r="I584" s="49"/>
      <c r="J584" s="26"/>
      <c r="K584" s="49"/>
      <c r="L584" s="80"/>
      <c r="M584" s="20"/>
      <c r="N584" s="80"/>
      <c r="O584" s="20"/>
      <c r="P584" s="80"/>
      <c r="Q584" s="20"/>
      <c r="R584" s="80"/>
      <c r="S584" s="20"/>
      <c r="U584" s="286">
        <v>5270</v>
      </c>
      <c r="V584" s="286">
        <v>6110</v>
      </c>
      <c r="W584" s="286"/>
      <c r="X584" s="286"/>
      <c r="Y584" s="286"/>
      <c r="Z584" s="286"/>
      <c r="AA584" s="286"/>
      <c r="AB584" s="286"/>
    </row>
    <row r="585" spans="2:28" ht="34.5" customHeight="1" x14ac:dyDescent="0.25">
      <c r="B585" s="16" t="s">
        <v>35</v>
      </c>
      <c r="C585" s="279"/>
      <c r="D585" s="18">
        <f>IF(U585="","",(1-$S$2)*(U585/1.2))</f>
        <v>4391.666666666667</v>
      </c>
      <c r="E585" s="56">
        <f>IF($S$5=0.2,D585*1.2,D585)/$S$4</f>
        <v>5270</v>
      </c>
      <c r="F585" s="15">
        <f t="shared" si="48"/>
        <v>5091.666666666667</v>
      </c>
      <c r="G585" s="56">
        <f t="shared" si="47"/>
        <v>6110</v>
      </c>
      <c r="H585" s="26"/>
      <c r="I585" s="49"/>
      <c r="J585" s="26"/>
      <c r="K585" s="49"/>
      <c r="L585" s="80"/>
      <c r="M585" s="20"/>
      <c r="N585" s="80"/>
      <c r="O585" s="20"/>
      <c r="P585" s="80"/>
      <c r="Q585" s="20"/>
      <c r="R585" s="80"/>
      <c r="S585" s="20"/>
      <c r="U585" s="286">
        <v>5270</v>
      </c>
      <c r="V585" s="286">
        <v>6110</v>
      </c>
      <c r="W585" s="286"/>
      <c r="X585" s="286"/>
      <c r="Y585" s="286"/>
      <c r="Z585" s="286"/>
      <c r="AA585" s="286"/>
      <c r="AB585" s="286"/>
    </row>
    <row r="586" spans="2:28" ht="34.5" customHeight="1" x14ac:dyDescent="0.25">
      <c r="B586" s="16" t="s">
        <v>55</v>
      </c>
      <c r="C586" s="279"/>
      <c r="D586" s="18">
        <f>IF(U586="","",(1-$S$2)*(U586/1.2))</f>
        <v>4391.666666666667</v>
      </c>
      <c r="E586" s="56">
        <f>IF($S$5=0.2,D586*1.2,D586)/$S$4</f>
        <v>5270</v>
      </c>
      <c r="F586" s="15">
        <f t="shared" si="48"/>
        <v>5091.666666666667</v>
      </c>
      <c r="G586" s="56">
        <f t="shared" si="47"/>
        <v>6110</v>
      </c>
      <c r="H586" s="26"/>
      <c r="I586" s="49"/>
      <c r="J586" s="26"/>
      <c r="K586" s="49"/>
      <c r="L586" s="80"/>
      <c r="M586" s="20"/>
      <c r="N586" s="80"/>
      <c r="O586" s="20"/>
      <c r="P586" s="80"/>
      <c r="Q586" s="20"/>
      <c r="R586" s="80"/>
      <c r="S586" s="20"/>
      <c r="U586" s="286">
        <v>5270</v>
      </c>
      <c r="V586" s="286">
        <v>6110</v>
      </c>
      <c r="W586" s="286"/>
      <c r="X586" s="286"/>
      <c r="Y586" s="286"/>
      <c r="Z586" s="286"/>
      <c r="AA586" s="286"/>
      <c r="AB586" s="286"/>
    </row>
    <row r="587" spans="2:28" ht="34.5" customHeight="1" x14ac:dyDescent="0.25">
      <c r="B587" s="16" t="s">
        <v>56</v>
      </c>
      <c r="C587" s="279"/>
      <c r="D587" s="18">
        <f>IF(U587="","",(1-$S$2)*(U587/1.2))</f>
        <v>4391.666666666667</v>
      </c>
      <c r="E587" s="56">
        <f>IF($S$5=0.2,D587*1.2,D587)/$S$4</f>
        <v>5270</v>
      </c>
      <c r="F587" s="15">
        <f t="shared" si="48"/>
        <v>5091.666666666667</v>
      </c>
      <c r="G587" s="56">
        <f t="shared" si="47"/>
        <v>6110</v>
      </c>
      <c r="H587" s="26"/>
      <c r="I587" s="49"/>
      <c r="J587" s="26"/>
      <c r="K587" s="49"/>
      <c r="L587" s="80"/>
      <c r="M587" s="20"/>
      <c r="N587" s="80"/>
      <c r="O587" s="20"/>
      <c r="P587" s="80"/>
      <c r="Q587" s="20"/>
      <c r="R587" s="80"/>
      <c r="S587" s="20"/>
      <c r="U587" s="286">
        <v>5270</v>
      </c>
      <c r="V587" s="286">
        <v>6110</v>
      </c>
      <c r="W587" s="286"/>
      <c r="X587" s="286"/>
      <c r="Y587" s="286"/>
      <c r="Z587" s="286"/>
      <c r="AA587" s="286"/>
      <c r="AB587" s="286"/>
    </row>
    <row r="588" spans="2:28" ht="34.5" customHeight="1" x14ac:dyDescent="0.25">
      <c r="B588" s="16" t="s">
        <v>57</v>
      </c>
      <c r="C588" s="279"/>
      <c r="D588" s="18">
        <f>IF(U588="","",(1-$S$2)*(U588/1.2))</f>
        <v>4391.666666666667</v>
      </c>
      <c r="E588" s="56">
        <f>IF($S$5=0.2,D588*1.2,D588)/$S$4</f>
        <v>5270</v>
      </c>
      <c r="F588" s="15">
        <f t="shared" si="48"/>
        <v>5091.666666666667</v>
      </c>
      <c r="G588" s="56">
        <f t="shared" si="47"/>
        <v>6110</v>
      </c>
      <c r="H588" s="26"/>
      <c r="I588" s="49"/>
      <c r="J588" s="26"/>
      <c r="K588" s="49"/>
      <c r="L588" s="80"/>
      <c r="M588" s="20"/>
      <c r="N588" s="80"/>
      <c r="O588" s="20"/>
      <c r="P588" s="80"/>
      <c r="Q588" s="20"/>
      <c r="R588" s="80"/>
      <c r="S588" s="20"/>
      <c r="U588" s="286">
        <v>5270</v>
      </c>
      <c r="V588" s="286">
        <v>6110</v>
      </c>
      <c r="W588" s="286"/>
      <c r="X588" s="286"/>
      <c r="Y588" s="286"/>
      <c r="Z588" s="286"/>
      <c r="AA588" s="286"/>
      <c r="AB588" s="286"/>
    </row>
    <row r="589" spans="2:28" ht="34.5" customHeight="1" x14ac:dyDescent="0.25">
      <c r="B589" s="21" t="s">
        <v>58</v>
      </c>
      <c r="C589" s="22"/>
      <c r="D589" s="23">
        <f t="shared" si="45"/>
        <v>4391.666666666667</v>
      </c>
      <c r="E589" s="59">
        <f t="shared" si="46"/>
        <v>5270</v>
      </c>
      <c r="F589" s="15">
        <f t="shared" si="48"/>
        <v>5091.666666666667</v>
      </c>
      <c r="G589" s="59">
        <f t="shared" si="47"/>
        <v>6110</v>
      </c>
      <c r="H589" s="26"/>
      <c r="I589" s="49"/>
      <c r="J589" s="26"/>
      <c r="K589" s="49"/>
      <c r="L589" s="80"/>
      <c r="M589" s="20"/>
      <c r="N589" s="80"/>
      <c r="O589" s="20"/>
      <c r="P589" s="80"/>
      <c r="Q589" s="20"/>
      <c r="R589" s="80"/>
      <c r="S589" s="20"/>
      <c r="U589" s="286">
        <v>5270</v>
      </c>
      <c r="V589" s="286">
        <v>6110</v>
      </c>
      <c r="W589" s="286"/>
      <c r="X589" s="286"/>
      <c r="Y589" s="286"/>
      <c r="Z589" s="286"/>
      <c r="AA589" s="286"/>
      <c r="AB589" s="286"/>
    </row>
    <row r="590" spans="2:28" ht="12.75" customHeight="1" x14ac:dyDescent="0.25">
      <c r="C590" s="24"/>
      <c r="D590" s="24"/>
      <c r="E590" s="46"/>
      <c r="F590" s="24"/>
      <c r="G590" s="46"/>
      <c r="H590" s="5"/>
    </row>
    <row r="591" spans="2:28" x14ac:dyDescent="0.25">
      <c r="B591" s="155" t="str">
        <f>IF($C$1="ENG","For additonal charge:","Послуги за додаткову плату:")</f>
        <v>Послуги за додаткову плату:</v>
      </c>
      <c r="C591" s="156"/>
      <c r="D591" s="156"/>
      <c r="E591" s="157"/>
      <c r="F591" s="24"/>
      <c r="G591" s="46"/>
      <c r="H591" s="10"/>
      <c r="I591" s="8"/>
      <c r="J591" s="8"/>
      <c r="K591" s="8"/>
    </row>
    <row r="592" spans="2:28" ht="5.0999999999999996" customHeight="1" x14ac:dyDescent="0.25">
      <c r="B592" s="25"/>
      <c r="C592" s="24"/>
      <c r="D592" s="24"/>
      <c r="E592" s="46"/>
      <c r="F592" s="24"/>
      <c r="G592" s="24"/>
      <c r="H592" s="10"/>
      <c r="I592" s="8"/>
      <c r="J592" s="8"/>
      <c r="K592" s="8"/>
    </row>
    <row r="593" spans="2:28" x14ac:dyDescent="0.25">
      <c r="B593" s="317" t="str">
        <f>IF($C$1="ENG","door leaf with width 100","полотно розміром 100")</f>
        <v>полотно розміром 100</v>
      </c>
      <c r="C593" s="318"/>
      <c r="D593" s="100">
        <f t="shared" ref="D593:D599" si="49">IF(U593="","",(1-$S$2)*(U593/1.2))</f>
        <v>708.33333333333337</v>
      </c>
      <c r="E593" s="73">
        <f>IF($S$5=0.2,D593*1.2,D593)/$S$4</f>
        <v>850</v>
      </c>
      <c r="F593" s="24"/>
      <c r="G593" s="24"/>
      <c r="H593" s="10"/>
      <c r="I593" s="8"/>
      <c r="J593" s="8"/>
      <c r="K593" s="8"/>
      <c r="U593" s="286">
        <v>850</v>
      </c>
      <c r="V593" s="286"/>
      <c r="W593" s="286"/>
      <c r="X593" s="286"/>
      <c r="Y593" s="286"/>
      <c r="Z593" s="286"/>
      <c r="AA593" s="286"/>
      <c r="AB593" s="286"/>
    </row>
    <row r="594" spans="2:28" x14ac:dyDescent="0.25">
      <c r="B594" s="319" t="str">
        <f>IF($C$1="ENG","Ventilation sleeves (1 row)","вентиляційні віддушини (1 ряд)")</f>
        <v>вентиляційні віддушини (1 ряд)</v>
      </c>
      <c r="C594" s="320"/>
      <c r="D594" s="101">
        <f t="shared" si="49"/>
        <v>241.66666666666669</v>
      </c>
      <c r="E594" s="74">
        <f>IF($S$5=0.2,D594*1.2,D594)/$S$4</f>
        <v>290</v>
      </c>
      <c r="F594" s="24"/>
      <c r="G594" s="24"/>
      <c r="I594" s="11"/>
      <c r="J594" s="11"/>
      <c r="K594" s="11"/>
      <c r="U594" s="286">
        <v>290</v>
      </c>
      <c r="V594" s="286"/>
      <c r="W594" s="286"/>
      <c r="X594" s="286"/>
      <c r="Y594" s="286"/>
      <c r="Z594" s="286"/>
      <c r="AA594" s="286"/>
      <c r="AB594" s="286"/>
    </row>
    <row r="595" spans="2:28" x14ac:dyDescent="0.25">
      <c r="B595" s="319" t="str">
        <f>IF($C$1="ENG","Ventilation undercut","вентиляційний підріз")</f>
        <v>вентиляційний підріз</v>
      </c>
      <c r="C595" s="320"/>
      <c r="D595" s="79">
        <f t="shared" si="49"/>
        <v>162.5</v>
      </c>
      <c r="E595" s="74">
        <f>IF($S$5=0.2,D595*1.2,D595)/$S$4</f>
        <v>195</v>
      </c>
      <c r="F595" s="24"/>
      <c r="G595" s="24"/>
      <c r="H595" s="5"/>
      <c r="U595" s="286">
        <v>195</v>
      </c>
      <c r="V595" s="286"/>
      <c r="W595" s="286"/>
      <c r="X595" s="286"/>
      <c r="Y595" s="286"/>
      <c r="Z595" s="286"/>
      <c r="AA595" s="286"/>
      <c r="AB595" s="286"/>
    </row>
    <row r="596" spans="2:28" x14ac:dyDescent="0.25">
      <c r="B596" s="319" t="str">
        <f>IF($C$1="ENG","lacobel glass is black","скло lacobel чорне")</f>
        <v>скло lacobel чорне</v>
      </c>
      <c r="C596" s="320"/>
      <c r="D596" s="79">
        <f t="shared" si="49"/>
        <v>433.33333333333337</v>
      </c>
      <c r="E596" s="74">
        <f t="shared" ref="E596" si="50">IF($S$5=0.2,D596*1.2,D596)/$S$4</f>
        <v>520</v>
      </c>
      <c r="F596" s="24"/>
      <c r="G596" s="33"/>
      <c r="H596" s="291"/>
      <c r="U596" s="286">
        <v>520</v>
      </c>
      <c r="V596" s="286"/>
      <c r="W596" s="286"/>
      <c r="X596" s="286"/>
      <c r="Y596" s="286"/>
      <c r="Z596" s="286"/>
      <c r="AA596" s="286"/>
      <c r="AB596" s="286"/>
    </row>
    <row r="597" spans="2:28" x14ac:dyDescent="0.25">
      <c r="B597" s="319" t="str">
        <f>IF($C$1="ENG","door handle-lock (for sliding doors)","ручка-замок (для дверей купе)")</f>
        <v>ручка-замок (для дверей купе)</v>
      </c>
      <c r="C597" s="320"/>
      <c r="D597" s="101">
        <f t="shared" si="49"/>
        <v>533.33333333333337</v>
      </c>
      <c r="E597" s="74">
        <f>IF($S$5=0.2,D597*1.2,D597)/$S$4</f>
        <v>640</v>
      </c>
      <c r="F597" s="24"/>
      <c r="G597" s="24"/>
      <c r="I597" s="11"/>
      <c r="J597" s="11"/>
      <c r="K597" s="19"/>
      <c r="U597" s="286">
        <v>640</v>
      </c>
      <c r="V597" s="286"/>
      <c r="W597" s="286"/>
      <c r="X597" s="286"/>
      <c r="Y597" s="286"/>
      <c r="Z597" s="286"/>
      <c r="AA597" s="286"/>
      <c r="AB597" s="286"/>
    </row>
    <row r="598" spans="2:28" x14ac:dyDescent="0.25">
      <c r="B598" s="319" t="str">
        <f>IF($C$1="ENG","door hinge caps (1 set)","накладка на завіси (1 к-т)")</f>
        <v>накладка на завіси (1 к-т)</v>
      </c>
      <c r="C598" s="320"/>
      <c r="D598" s="103">
        <f t="shared" si="49"/>
        <v>75</v>
      </c>
      <c r="E598" s="74">
        <f>IF($S$5=0.2,D598*1.2,D598)/$S$4</f>
        <v>90</v>
      </c>
      <c r="F598" s="24"/>
      <c r="G598" s="24"/>
      <c r="U598" s="286">
        <v>90</v>
      </c>
      <c r="V598" s="286"/>
      <c r="W598" s="286"/>
      <c r="X598" s="286"/>
      <c r="Y598" s="286"/>
      <c r="Z598" s="286"/>
      <c r="AA598" s="286"/>
      <c r="AB598" s="286"/>
    </row>
    <row r="599" spans="2:28" x14ac:dyDescent="0.25">
      <c r="B599" s="319" t="str">
        <f>IF($C$1="ENG","door handle","дверна ручка")</f>
        <v>дверна ручка</v>
      </c>
      <c r="C599" s="320"/>
      <c r="D599" s="102" t="str">
        <f t="shared" si="49"/>
        <v/>
      </c>
      <c r="E599" s="180" t="str">
        <f>IF($C$1="ENG","see Handles Price","див.Таблицю Ручки")</f>
        <v>див.Таблицю Ручки</v>
      </c>
      <c r="F599" s="24"/>
      <c r="G599" s="24"/>
      <c r="U599" s="286"/>
      <c r="V599" s="286"/>
      <c r="W599" s="286"/>
      <c r="X599" s="286"/>
      <c r="Y599" s="286"/>
      <c r="Z599" s="286"/>
      <c r="AA599" s="286"/>
      <c r="AB599" s="286"/>
    </row>
    <row r="600" spans="2:28" ht="14.25" customHeight="1" x14ac:dyDescent="0.25">
      <c r="C600" s="24"/>
      <c r="D600" s="24"/>
      <c r="E600" s="24"/>
      <c r="F600" s="24"/>
      <c r="G600" s="24"/>
      <c r="H600" s="5"/>
      <c r="P600" s="333" t="str">
        <f>IF($C$1="ENG",CONCATENATE("down to: ",B49),CONCATENATE("вниз до: ",B49))</f>
        <v>вниз до: Полотна збірні:  ECO-ELIT</v>
      </c>
      <c r="Q600" s="333"/>
      <c r="R600" s="333"/>
      <c r="S600" s="333"/>
    </row>
    <row r="601" spans="2:28" ht="14.25" customHeight="1" x14ac:dyDescent="0.25">
      <c r="C601" s="24"/>
      <c r="D601" s="24"/>
      <c r="E601" s="24"/>
      <c r="F601" s="24"/>
      <c r="G601" s="24"/>
      <c r="H601" s="5"/>
    </row>
    <row r="602" spans="2:28" ht="14.25" customHeight="1" x14ac:dyDescent="0.25">
      <c r="C602" s="24"/>
      <c r="D602" s="24"/>
      <c r="E602" s="24"/>
      <c r="F602" s="24"/>
      <c r="G602" s="24"/>
      <c r="H602" s="5"/>
    </row>
    <row r="603" spans="2:28" ht="14.25" customHeight="1" x14ac:dyDescent="0.25">
      <c r="C603" s="24"/>
      <c r="D603" s="24"/>
      <c r="E603" s="24"/>
      <c r="F603" s="24"/>
      <c r="G603" s="24"/>
      <c r="H603" s="5"/>
    </row>
    <row r="604" spans="2:28" ht="14.25" customHeight="1" x14ac:dyDescent="0.25">
      <c r="C604" s="24"/>
      <c r="D604" s="24"/>
      <c r="E604" s="24"/>
      <c r="F604" s="24"/>
      <c r="G604" s="24"/>
      <c r="H604" s="5"/>
    </row>
    <row r="605" spans="2:28" ht="14.25" customHeight="1" x14ac:dyDescent="0.25">
      <c r="C605" s="24"/>
      <c r="D605" s="24"/>
      <c r="E605" s="24"/>
      <c r="F605" s="24"/>
      <c r="G605" s="24"/>
      <c r="H605" s="5"/>
    </row>
    <row r="606" spans="2:28" ht="14.25" customHeight="1" x14ac:dyDescent="0.25">
      <c r="C606" s="24"/>
      <c r="D606" s="24"/>
      <c r="E606" s="24"/>
      <c r="F606" s="24"/>
      <c r="G606" s="24"/>
      <c r="H606" s="5"/>
    </row>
    <row r="607" spans="2:28" ht="14.25" customHeight="1" x14ac:dyDescent="0.25">
      <c r="C607" s="24"/>
      <c r="D607" s="24"/>
      <c r="E607" s="24"/>
      <c r="F607" s="24"/>
      <c r="G607" s="24"/>
      <c r="H607" s="5"/>
    </row>
    <row r="608" spans="2:28" ht="14.25" customHeight="1" x14ac:dyDescent="0.25">
      <c r="C608" s="24"/>
      <c r="D608" s="24"/>
      <c r="E608" s="24"/>
      <c r="F608" s="24"/>
      <c r="G608" s="24"/>
      <c r="H608" s="5"/>
    </row>
    <row r="609" spans="3:8" ht="14.25" customHeight="1" x14ac:dyDescent="0.25">
      <c r="C609" s="24"/>
      <c r="D609" s="24"/>
      <c r="E609" s="24"/>
      <c r="F609" s="24"/>
      <c r="G609" s="24"/>
      <c r="H609" s="5"/>
    </row>
    <row r="610" spans="3:8" ht="14.25" customHeight="1" x14ac:dyDescent="0.25">
      <c r="C610" s="24"/>
      <c r="D610" s="24"/>
      <c r="E610" s="24"/>
      <c r="F610" s="24"/>
      <c r="G610" s="24"/>
      <c r="H610" s="5"/>
    </row>
    <row r="611" spans="3:8" ht="14.25" customHeight="1" x14ac:dyDescent="0.25">
      <c r="C611" s="24"/>
      <c r="D611" s="24"/>
      <c r="E611" s="24"/>
      <c r="F611" s="24"/>
      <c r="G611" s="24"/>
      <c r="H611" s="5"/>
    </row>
    <row r="612" spans="3:8" ht="14.25" customHeight="1" x14ac:dyDescent="0.25">
      <c r="C612" s="24"/>
      <c r="D612" s="24"/>
      <c r="E612" s="24"/>
      <c r="F612" s="24"/>
      <c r="G612" s="24"/>
      <c r="H612" s="5"/>
    </row>
    <row r="613" spans="3:8" ht="14.25" customHeight="1" x14ac:dyDescent="0.25">
      <c r="C613" s="24"/>
      <c r="D613" s="24"/>
      <c r="E613" s="24"/>
      <c r="F613" s="24"/>
      <c r="G613" s="24"/>
      <c r="H613" s="5"/>
    </row>
    <row r="614" spans="3:8" ht="14.25" customHeight="1" x14ac:dyDescent="0.25">
      <c r="C614" s="24"/>
      <c r="D614" s="24"/>
      <c r="E614" s="24"/>
      <c r="F614" s="24"/>
      <c r="G614" s="24"/>
      <c r="H614" s="5"/>
    </row>
    <row r="615" spans="3:8" ht="14.25" customHeight="1" x14ac:dyDescent="0.25">
      <c r="C615" s="24"/>
      <c r="D615" s="24"/>
      <c r="E615" s="24"/>
      <c r="F615" s="24"/>
      <c r="G615" s="24"/>
      <c r="H615" s="5"/>
    </row>
    <row r="616" spans="3:8" ht="14.25" customHeight="1" x14ac:dyDescent="0.25">
      <c r="C616" s="24"/>
      <c r="D616" s="24"/>
      <c r="E616" s="24"/>
      <c r="F616" s="24"/>
      <c r="G616" s="24"/>
      <c r="H616" s="5"/>
    </row>
    <row r="617" spans="3:8" ht="14.25" customHeight="1" x14ac:dyDescent="0.25">
      <c r="C617" s="24"/>
      <c r="D617" s="24"/>
      <c r="E617" s="24"/>
      <c r="F617" s="24"/>
      <c r="G617" s="24"/>
      <c r="H617" s="5"/>
    </row>
    <row r="618" spans="3:8" ht="14.25" customHeight="1" x14ac:dyDescent="0.25">
      <c r="C618" s="24"/>
      <c r="D618" s="24"/>
      <c r="E618" s="24"/>
      <c r="F618" s="24"/>
      <c r="G618" s="24"/>
      <c r="H618" s="5"/>
    </row>
    <row r="619" spans="3:8" ht="14.25" customHeight="1" x14ac:dyDescent="0.25">
      <c r="C619" s="24"/>
      <c r="D619" s="24"/>
      <c r="E619" s="24"/>
      <c r="F619" s="24"/>
      <c r="G619" s="24"/>
      <c r="H619" s="5"/>
    </row>
    <row r="620" spans="3:8" ht="14.25" customHeight="1" x14ac:dyDescent="0.25">
      <c r="C620" s="24"/>
      <c r="D620" s="24"/>
      <c r="E620" s="24"/>
      <c r="F620" s="24"/>
      <c r="G620" s="24"/>
      <c r="H620" s="5"/>
    </row>
    <row r="621" spans="3:8" ht="14.25" customHeight="1" x14ac:dyDescent="0.25">
      <c r="C621" s="24"/>
      <c r="D621" s="24"/>
      <c r="E621" s="24"/>
      <c r="F621" s="24"/>
      <c r="G621" s="24"/>
      <c r="H621" s="5"/>
    </row>
    <row r="622" spans="3:8" ht="14.25" customHeight="1" x14ac:dyDescent="0.25">
      <c r="C622" s="24"/>
      <c r="D622" s="24"/>
      <c r="E622" s="24"/>
      <c r="F622" s="24"/>
      <c r="G622" s="24"/>
      <c r="H622" s="5"/>
    </row>
    <row r="623" spans="3:8" ht="14.25" customHeight="1" x14ac:dyDescent="0.25">
      <c r="C623" s="24"/>
      <c r="D623" s="24"/>
      <c r="E623" s="24"/>
      <c r="F623" s="24"/>
      <c r="G623" s="24"/>
      <c r="H623" s="5"/>
    </row>
    <row r="624" spans="3:8" ht="14.25" customHeight="1" x14ac:dyDescent="0.25">
      <c r="C624" s="24"/>
      <c r="D624" s="24"/>
      <c r="E624" s="24"/>
      <c r="F624" s="24"/>
      <c r="G624" s="24"/>
      <c r="H624" s="5"/>
    </row>
    <row r="625" spans="3:8" ht="14.25" customHeight="1" x14ac:dyDescent="0.25">
      <c r="C625" s="24"/>
      <c r="D625" s="24"/>
      <c r="E625" s="24"/>
      <c r="F625" s="24"/>
      <c r="G625" s="24"/>
      <c r="H625" s="5"/>
    </row>
    <row r="626" spans="3:8" ht="14.25" customHeight="1" x14ac:dyDescent="0.25">
      <c r="C626" s="24"/>
      <c r="D626" s="24"/>
      <c r="E626" s="24"/>
      <c r="F626" s="24"/>
      <c r="G626" s="24"/>
      <c r="H626" s="5"/>
    </row>
    <row r="627" spans="3:8" ht="14.25" customHeight="1" x14ac:dyDescent="0.25">
      <c r="C627" s="24"/>
      <c r="D627" s="24"/>
      <c r="E627" s="24"/>
      <c r="F627" s="24"/>
      <c r="G627" s="24"/>
      <c r="H627" s="5"/>
    </row>
    <row r="628" spans="3:8" ht="14.25" customHeight="1" x14ac:dyDescent="0.25">
      <c r="C628" s="24"/>
      <c r="D628" s="24"/>
      <c r="E628" s="24"/>
      <c r="F628" s="24"/>
      <c r="G628" s="24"/>
      <c r="H628" s="5"/>
    </row>
    <row r="629" spans="3:8" ht="14.25" customHeight="1" x14ac:dyDescent="0.25">
      <c r="C629" s="24"/>
      <c r="D629" s="24"/>
      <c r="E629" s="24"/>
      <c r="F629" s="24"/>
      <c r="G629" s="24"/>
      <c r="H629" s="5"/>
    </row>
    <row r="630" spans="3:8" ht="14.25" customHeight="1" x14ac:dyDescent="0.25">
      <c r="C630" s="24"/>
      <c r="D630" s="24"/>
      <c r="E630" s="24"/>
      <c r="F630" s="24"/>
      <c r="G630" s="24"/>
      <c r="H630" s="5"/>
    </row>
    <row r="631" spans="3:8" ht="14.25" customHeight="1" x14ac:dyDescent="0.25">
      <c r="C631" s="24"/>
      <c r="D631" s="24"/>
      <c r="E631" s="24"/>
      <c r="F631" s="24"/>
      <c r="G631" s="24"/>
      <c r="H631" s="5"/>
    </row>
    <row r="632" spans="3:8" ht="14.25" customHeight="1" x14ac:dyDescent="0.25">
      <c r="C632" s="24"/>
      <c r="D632" s="24"/>
      <c r="E632" s="24"/>
      <c r="F632" s="24"/>
      <c r="G632" s="24"/>
      <c r="H632" s="5"/>
    </row>
    <row r="633" spans="3:8" ht="14.25" customHeight="1" x14ac:dyDescent="0.25">
      <c r="C633" s="24"/>
      <c r="D633" s="24"/>
      <c r="E633" s="24"/>
      <c r="F633" s="24"/>
      <c r="G633" s="24"/>
      <c r="H633" s="5"/>
    </row>
    <row r="634" spans="3:8" ht="14.25" customHeight="1" x14ac:dyDescent="0.25">
      <c r="C634" s="24"/>
      <c r="D634" s="24"/>
      <c r="E634" s="24"/>
      <c r="F634" s="24"/>
      <c r="G634" s="24"/>
      <c r="H634" s="5"/>
    </row>
    <row r="635" spans="3:8" ht="14.25" customHeight="1" x14ac:dyDescent="0.25">
      <c r="C635" s="24"/>
      <c r="D635" s="24"/>
      <c r="E635" s="24"/>
      <c r="F635" s="24"/>
      <c r="G635" s="24"/>
      <c r="H635" s="5"/>
    </row>
    <row r="636" spans="3:8" ht="14.25" customHeight="1" x14ac:dyDescent="0.25">
      <c r="C636" s="24"/>
      <c r="D636" s="24"/>
      <c r="E636" s="24"/>
      <c r="F636" s="24"/>
      <c r="G636" s="24"/>
      <c r="H636" s="5"/>
    </row>
    <row r="637" spans="3:8" ht="14.25" customHeight="1" x14ac:dyDescent="0.25">
      <c r="C637" s="24"/>
      <c r="D637" s="24"/>
      <c r="E637" s="24"/>
      <c r="F637" s="24"/>
      <c r="G637" s="24"/>
      <c r="H637" s="5"/>
    </row>
    <row r="638" spans="3:8" ht="14.25" customHeight="1" x14ac:dyDescent="0.25">
      <c r="C638" s="24"/>
      <c r="D638" s="24"/>
      <c r="E638" s="24"/>
      <c r="F638" s="24"/>
      <c r="G638" s="24"/>
      <c r="H638" s="5"/>
    </row>
    <row r="639" spans="3:8" ht="14.25" customHeight="1" x14ac:dyDescent="0.25">
      <c r="C639" s="24"/>
      <c r="D639" s="24"/>
      <c r="E639" s="24"/>
      <c r="F639" s="24"/>
      <c r="G639" s="24"/>
      <c r="H639" s="5"/>
    </row>
    <row r="640" spans="3:8" ht="14.25" customHeight="1" x14ac:dyDescent="0.25">
      <c r="C640" s="24"/>
      <c r="D640" s="24"/>
      <c r="E640" s="24"/>
      <c r="F640" s="24"/>
      <c r="G640" s="24"/>
      <c r="H640" s="5"/>
    </row>
    <row r="641" spans="2:28" ht="14.25" customHeight="1" x14ac:dyDescent="0.25">
      <c r="C641" s="24"/>
      <c r="D641" s="24"/>
      <c r="E641" s="24"/>
      <c r="F641" s="24"/>
      <c r="G641" s="24"/>
      <c r="H641" s="5"/>
    </row>
    <row r="642" spans="2:28" ht="14.25" customHeight="1" x14ac:dyDescent="0.25">
      <c r="C642" s="24"/>
      <c r="D642" s="24"/>
      <c r="E642" s="24"/>
      <c r="F642" s="24"/>
      <c r="G642" s="24"/>
      <c r="H642" s="5"/>
    </row>
    <row r="643" spans="2:28" ht="14.25" customHeight="1" x14ac:dyDescent="0.25">
      <c r="C643" s="24"/>
      <c r="D643" s="24"/>
      <c r="E643" s="24"/>
      <c r="F643" s="24"/>
      <c r="G643" s="24"/>
      <c r="H643" s="5"/>
    </row>
    <row r="644" spans="2:28" ht="14.25" customHeight="1" x14ac:dyDescent="0.25">
      <c r="C644" s="24"/>
      <c r="D644" s="24"/>
      <c r="E644" s="24"/>
      <c r="F644" s="24"/>
      <c r="G644" s="24"/>
      <c r="H644" s="5"/>
    </row>
    <row r="645" spans="2:28" ht="14.25" customHeight="1" x14ac:dyDescent="0.25">
      <c r="C645" s="24"/>
      <c r="D645" s="24"/>
      <c r="E645" s="24"/>
      <c r="F645" s="24"/>
      <c r="G645" s="24"/>
      <c r="H645" s="5"/>
    </row>
    <row r="646" spans="2:28" ht="14.25" customHeight="1" x14ac:dyDescent="0.25">
      <c r="C646" s="24"/>
      <c r="D646" s="24"/>
      <c r="E646" s="24"/>
      <c r="F646" s="24"/>
      <c r="G646" s="24"/>
      <c r="H646" s="5"/>
    </row>
    <row r="647" spans="2:28" ht="14.25" customHeight="1" x14ac:dyDescent="0.25">
      <c r="C647" s="24"/>
      <c r="D647" s="24"/>
      <c r="E647" s="24"/>
      <c r="F647" s="24"/>
      <c r="G647" s="24"/>
      <c r="H647" s="5"/>
    </row>
    <row r="648" spans="2:28" ht="14.25" customHeight="1" x14ac:dyDescent="0.25">
      <c r="C648" s="24"/>
      <c r="D648" s="24"/>
      <c r="E648" s="24"/>
      <c r="F648" s="24"/>
      <c r="G648" s="24"/>
      <c r="H648" s="5"/>
    </row>
    <row r="649" spans="2:28" ht="14.25" customHeight="1" x14ac:dyDescent="0.25">
      <c r="C649" s="24"/>
      <c r="D649" s="24"/>
      <c r="E649" s="24"/>
      <c r="F649" s="24"/>
      <c r="G649" s="24"/>
      <c r="H649" s="5"/>
    </row>
    <row r="650" spans="2:28" ht="12.75" customHeight="1" x14ac:dyDescent="0.25">
      <c r="B650" s="321" t="str">
        <f>TITLE!C18</f>
        <v>Полотна збірні: ECO-PIANO</v>
      </c>
      <c r="C650" s="321"/>
      <c r="D650" s="93"/>
      <c r="E650" s="277"/>
      <c r="F650" s="93"/>
      <c r="G650" s="93"/>
      <c r="H650" s="322"/>
      <c r="I650" s="322"/>
      <c r="J650" s="94"/>
      <c r="K650" s="94"/>
      <c r="L650" s="94"/>
      <c r="M650" s="94"/>
      <c r="N650" s="94"/>
      <c r="O650" s="94"/>
      <c r="P650" s="323" t="str">
        <f>IF($C$1="ENG",CONCATENATE("up to: ",B575),CONCATENATE("вгору до: ",B575))</f>
        <v>вгору до: Полотна збірні: ECO-GRANDE</v>
      </c>
      <c r="Q650" s="323"/>
      <c r="R650" s="323"/>
      <c r="S650" s="323"/>
    </row>
    <row r="651" spans="2:28" ht="4.5" customHeight="1" x14ac:dyDescent="0.25">
      <c r="B651" s="92"/>
      <c r="C651" s="92"/>
      <c r="D651" s="9"/>
      <c r="E651" s="9"/>
      <c r="F651" s="10"/>
      <c r="G651" s="10"/>
      <c r="H651" s="109"/>
      <c r="I651" s="109"/>
      <c r="L651" s="8"/>
      <c r="M651" s="8"/>
      <c r="N651" s="8"/>
      <c r="O651" s="8"/>
      <c r="P651" s="88"/>
      <c r="Q651" s="88"/>
      <c r="R651" s="88"/>
      <c r="S651" s="88"/>
    </row>
    <row r="652" spans="2:28" ht="12.75" customHeight="1" x14ac:dyDescent="0.25">
      <c r="B652" s="324" t="str">
        <f>IF($C$1="ENG","model","модель")</f>
        <v>модель</v>
      </c>
      <c r="C652" s="95" t="str">
        <f>IF($C$1="ENG","cover:","покриття:")</f>
        <v>покриття:</v>
      </c>
      <c r="D652" s="327" t="str">
        <f>IF($C$1="ENG","ECO-CELL","ECO-CELL")</f>
        <v>ECO-CELL</v>
      </c>
      <c r="E652" s="328"/>
      <c r="F652" s="327" t="str">
        <f>IF($C$1="ENG","ECO-RESIST","ECO-RESIST")</f>
        <v>ECO-RESIST</v>
      </c>
      <c r="G652" s="328"/>
      <c r="H652" s="35"/>
      <c r="I652" s="35"/>
      <c r="J652" s="35"/>
      <c r="K652" s="35"/>
      <c r="L652" s="8"/>
      <c r="M652" s="8"/>
      <c r="N652" s="8"/>
      <c r="O652" s="8"/>
      <c r="P652" s="88"/>
      <c r="Q652" s="88"/>
      <c r="R652" s="88"/>
      <c r="S652" s="88"/>
    </row>
    <row r="653" spans="2:28" ht="12.75" customHeight="1" x14ac:dyDescent="0.25">
      <c r="B653" s="325"/>
      <c r="C653" s="96" t="str">
        <f>IF($C$1="ENG","filling:","заповнення:")</f>
        <v>заповнення:</v>
      </c>
      <c r="D653" s="329" t="str">
        <f>IF($C$1="ENG","MDF","MDF")</f>
        <v>MDF</v>
      </c>
      <c r="E653" s="330"/>
      <c r="F653" s="329" t="str">
        <f>IF($C$1="ENG","MDF","MDF")</f>
        <v>MDF</v>
      </c>
      <c r="G653" s="330"/>
      <c r="H653" s="36"/>
      <c r="I653" s="36"/>
      <c r="J653" s="36"/>
      <c r="K653" s="36"/>
      <c r="L653" s="8"/>
      <c r="M653" s="8"/>
      <c r="N653" s="8"/>
      <c r="O653" s="8"/>
      <c r="P653" s="88"/>
      <c r="Q653" s="88"/>
      <c r="R653" s="88"/>
      <c r="S653" s="88"/>
    </row>
    <row r="654" spans="2:28" ht="12.75" customHeight="1" x14ac:dyDescent="0.25">
      <c r="B654" s="326"/>
      <c r="C654" s="97" t="str">
        <f>IF($C$1="ENG","glazing:","скління:")</f>
        <v>скління:</v>
      </c>
      <c r="D654" s="331" t="str">
        <f>IF($C$1="ENG","Satin","Сатин")</f>
        <v>Сатин</v>
      </c>
      <c r="E654" s="332"/>
      <c r="F654" s="331" t="str">
        <f>IF($C$1="ENG","Satin","Сатин")</f>
        <v>Сатин</v>
      </c>
      <c r="G654" s="332"/>
      <c r="H654" s="36"/>
      <c r="I654" s="36"/>
      <c r="J654" s="36"/>
      <c r="K654" s="36"/>
      <c r="L654" s="11"/>
      <c r="M654" s="11"/>
      <c r="N654" s="11"/>
      <c r="O654" s="11"/>
      <c r="P654" s="11"/>
    </row>
    <row r="655" spans="2:28" ht="34.5" customHeight="1" x14ac:dyDescent="0.25">
      <c r="B655" s="13" t="s">
        <v>36</v>
      </c>
      <c r="C655" s="14"/>
      <c r="D655" s="15">
        <f>IF(U655="","",(1-$S$2)*(U655/1.2))</f>
        <v>4533.3333333333339</v>
      </c>
      <c r="E655" s="54">
        <f>IF($S$5=0.2,D655*1.2,D655)/$S$4</f>
        <v>5440.0000000000009</v>
      </c>
      <c r="F655" s="15">
        <f>IF(V655="","",(1-$S$2)*(V655/1.2))</f>
        <v>5241.666666666667</v>
      </c>
      <c r="G655" s="54">
        <f>IF($S$5=0.2,F655*1.2,F655)/$S$4</f>
        <v>6290</v>
      </c>
      <c r="H655" s="26"/>
      <c r="I655" s="49"/>
      <c r="J655" s="26"/>
      <c r="K655" s="49"/>
      <c r="L655" s="80"/>
      <c r="M655" s="20"/>
      <c r="N655" s="80"/>
      <c r="O655" s="20"/>
      <c r="P655" s="80"/>
      <c r="Q655" s="20"/>
      <c r="R655" s="80"/>
      <c r="S655" s="20"/>
      <c r="U655" s="286">
        <v>5440</v>
      </c>
      <c r="V655" s="286">
        <v>6290</v>
      </c>
      <c r="W655" s="286"/>
      <c r="X655" s="286"/>
      <c r="Y655" s="286"/>
      <c r="Z655" s="286"/>
      <c r="AA655" s="286"/>
      <c r="AB655" s="286"/>
    </row>
    <row r="656" spans="2:28" ht="34.5" customHeight="1" x14ac:dyDescent="0.25">
      <c r="B656" s="280" t="s">
        <v>37</v>
      </c>
      <c r="C656" s="281"/>
      <c r="D656" s="18">
        <f>IF(U656="","",(1-$S$2)*(U656/1.2))</f>
        <v>4533.3333333333339</v>
      </c>
      <c r="E656" s="56">
        <f>IF($S$5=0.2,D656*1.2,D656)/$S$4</f>
        <v>5440.0000000000009</v>
      </c>
      <c r="F656" s="15">
        <f>IF(V656="","",(1-$S$2)*(V656/1.2))</f>
        <v>5241.666666666667</v>
      </c>
      <c r="G656" s="56">
        <f>IF($S$5=0.2,F656*1.2,F656)/$S$4</f>
        <v>6290</v>
      </c>
      <c r="H656" s="26"/>
      <c r="I656" s="49"/>
      <c r="J656" s="26"/>
      <c r="K656" s="49"/>
      <c r="L656" s="80"/>
      <c r="M656" s="20"/>
      <c r="N656" s="80"/>
      <c r="O656" s="20"/>
      <c r="P656" s="80"/>
      <c r="Q656" s="20"/>
      <c r="R656" s="80"/>
      <c r="S656" s="20"/>
      <c r="U656" s="286">
        <v>5440</v>
      </c>
      <c r="V656" s="286">
        <v>6290</v>
      </c>
      <c r="W656" s="286"/>
      <c r="X656" s="286"/>
      <c r="Y656" s="286"/>
      <c r="Z656" s="286"/>
      <c r="AA656" s="286"/>
      <c r="AB656" s="286"/>
    </row>
    <row r="657" spans="2:28" ht="34.5" customHeight="1" x14ac:dyDescent="0.25">
      <c r="B657" s="21" t="s">
        <v>59</v>
      </c>
      <c r="C657" s="22"/>
      <c r="D657" s="23">
        <f>IF(U657="","",(1-$S$2)*(U657/1.2))</f>
        <v>4533.3333333333339</v>
      </c>
      <c r="E657" s="59">
        <f>IF($S$5=0.2,D657*1.2,D657)/$S$4</f>
        <v>5440.0000000000009</v>
      </c>
      <c r="F657" s="15">
        <f>IF(V657="","",(1-$S$2)*(V657/1.2))</f>
        <v>5241.666666666667</v>
      </c>
      <c r="G657" s="59">
        <f>IF($S$5=0.2,F657*1.2,F657)/$S$4</f>
        <v>6290</v>
      </c>
      <c r="H657" s="26"/>
      <c r="I657" s="49"/>
      <c r="J657" s="26"/>
      <c r="K657" s="49"/>
      <c r="L657" s="80"/>
      <c r="M657" s="20"/>
      <c r="N657" s="80"/>
      <c r="O657" s="20"/>
      <c r="P657" s="80"/>
      <c r="Q657" s="20"/>
      <c r="R657" s="80"/>
      <c r="S657" s="20"/>
      <c r="U657" s="286">
        <v>5440</v>
      </c>
      <c r="V657" s="286">
        <v>6290</v>
      </c>
      <c r="W657" s="286"/>
      <c r="X657" s="286"/>
      <c r="Y657" s="286"/>
      <c r="Z657" s="286"/>
      <c r="AA657" s="286"/>
      <c r="AB657" s="286"/>
    </row>
    <row r="658" spans="2:28" ht="12.75" customHeight="1" x14ac:dyDescent="0.25">
      <c r="C658" s="24"/>
      <c r="D658" s="24"/>
      <c r="E658" s="46"/>
      <c r="F658" s="24"/>
      <c r="G658" s="46"/>
      <c r="H658" s="5"/>
    </row>
    <row r="659" spans="2:28" x14ac:dyDescent="0.25">
      <c r="B659" s="155" t="str">
        <f>IF($C$1="ENG","For additonal charge:","Послуги за додаткову плату:")</f>
        <v>Послуги за додаткову плату:</v>
      </c>
      <c r="C659" s="156"/>
      <c r="D659" s="156"/>
      <c r="E659" s="157"/>
      <c r="F659" s="24"/>
      <c r="G659" s="46"/>
      <c r="H659" s="10"/>
      <c r="I659" s="8"/>
      <c r="J659" s="8"/>
      <c r="K659" s="8"/>
    </row>
    <row r="660" spans="2:28" ht="5.0999999999999996" customHeight="1" x14ac:dyDescent="0.25">
      <c r="B660" s="25"/>
      <c r="C660" s="24"/>
      <c r="D660" s="24"/>
      <c r="E660" s="46"/>
      <c r="F660" s="24"/>
      <c r="G660" s="24"/>
      <c r="H660" s="10"/>
      <c r="I660" s="8"/>
      <c r="J660" s="8"/>
      <c r="K660" s="8"/>
    </row>
    <row r="661" spans="2:28" x14ac:dyDescent="0.25">
      <c r="B661" s="317" t="str">
        <f>IF($C$1="ENG","door leaf with width 100","полотно розміром 100")</f>
        <v>полотно розміром 100</v>
      </c>
      <c r="C661" s="318"/>
      <c r="D661" s="100">
        <f t="shared" ref="D661:D667" si="51">IF(U661="","",(1-$S$2)*(U661/1.2))</f>
        <v>708.33333333333337</v>
      </c>
      <c r="E661" s="73">
        <f>IF($S$5=0.2,D661*1.2,D661)/$S$4</f>
        <v>850</v>
      </c>
      <c r="F661" s="24"/>
      <c r="G661" s="24"/>
      <c r="H661" s="10"/>
      <c r="I661" s="8"/>
      <c r="J661" s="8"/>
      <c r="K661" s="8"/>
      <c r="U661" s="286">
        <v>850</v>
      </c>
      <c r="V661" s="286"/>
      <c r="W661" s="286"/>
      <c r="X661" s="286"/>
      <c r="Y661" s="286"/>
      <c r="Z661" s="286"/>
      <c r="AA661" s="286"/>
      <c r="AB661" s="286"/>
    </row>
    <row r="662" spans="2:28" x14ac:dyDescent="0.25">
      <c r="B662" s="319" t="str">
        <f>IF($C$1="ENG","Ventilation sleeves (1 row)","вентиляційні віддушини (1 ряд)")</f>
        <v>вентиляційні віддушини (1 ряд)</v>
      </c>
      <c r="C662" s="320"/>
      <c r="D662" s="101">
        <f t="shared" si="51"/>
        <v>241.66666666666669</v>
      </c>
      <c r="E662" s="74">
        <f>IF($S$5=0.2,D662*1.2,D662)/$S$4</f>
        <v>290</v>
      </c>
      <c r="F662" s="24"/>
      <c r="G662" s="24"/>
      <c r="I662" s="11"/>
      <c r="J662" s="11"/>
      <c r="K662" s="11"/>
      <c r="U662" s="286">
        <v>290</v>
      </c>
      <c r="V662" s="286"/>
      <c r="W662" s="286"/>
      <c r="X662" s="286"/>
      <c r="Y662" s="286"/>
      <c r="Z662" s="286"/>
      <c r="AA662" s="286"/>
      <c r="AB662" s="286"/>
    </row>
    <row r="663" spans="2:28" x14ac:dyDescent="0.25">
      <c r="B663" s="319" t="str">
        <f>IF($C$1="ENG","Ventilation undercut","вентиляційний підріз")</f>
        <v>вентиляційний підріз</v>
      </c>
      <c r="C663" s="320"/>
      <c r="D663" s="79">
        <f t="shared" si="51"/>
        <v>162.5</v>
      </c>
      <c r="E663" s="74">
        <f>IF($S$5=0.2,D663*1.2,D663)/$S$4</f>
        <v>195</v>
      </c>
      <c r="F663" s="24"/>
      <c r="G663" s="24"/>
      <c r="H663" s="5"/>
      <c r="U663" s="286">
        <v>195</v>
      </c>
      <c r="V663" s="286"/>
      <c r="W663" s="286"/>
      <c r="X663" s="286"/>
      <c r="Y663" s="286"/>
      <c r="Z663" s="286"/>
      <c r="AA663" s="286"/>
      <c r="AB663" s="286"/>
    </row>
    <row r="664" spans="2:28" x14ac:dyDescent="0.25">
      <c r="B664" s="319" t="str">
        <f>IF($C$1="ENG","lacobel glass is black","скло lacobel чорне")</f>
        <v>скло lacobel чорне</v>
      </c>
      <c r="C664" s="320"/>
      <c r="D664" s="79">
        <f t="shared" si="51"/>
        <v>433.33333333333337</v>
      </c>
      <c r="E664" s="74">
        <f t="shared" ref="E664" si="52">IF($S$5=0.2,D664*1.2,D664)/$S$4</f>
        <v>520</v>
      </c>
      <c r="F664" s="24"/>
      <c r="G664" s="33"/>
      <c r="H664" s="291"/>
      <c r="U664" s="286">
        <v>520</v>
      </c>
      <c r="V664" s="286"/>
      <c r="W664" s="286"/>
      <c r="X664" s="286"/>
      <c r="Y664" s="286"/>
      <c r="Z664" s="286"/>
      <c r="AA664" s="286"/>
      <c r="AB664" s="286"/>
    </row>
    <row r="665" spans="2:28" x14ac:dyDescent="0.25">
      <c r="B665" s="319" t="str">
        <f>IF($C$1="ENG","door handle-lock (for sliding doors)","ручка-замок (для дверей купе)")</f>
        <v>ручка-замок (для дверей купе)</v>
      </c>
      <c r="C665" s="320"/>
      <c r="D665" s="101">
        <f t="shared" si="51"/>
        <v>533.33333333333337</v>
      </c>
      <c r="E665" s="74">
        <f>IF($S$5=0.2,D665*1.2,D665)/$S$4</f>
        <v>640</v>
      </c>
      <c r="F665" s="24"/>
      <c r="G665" s="24"/>
      <c r="I665" s="11"/>
      <c r="J665" s="11"/>
      <c r="K665" s="19"/>
      <c r="U665" s="286">
        <v>640</v>
      </c>
      <c r="V665" s="286"/>
      <c r="W665" s="286"/>
      <c r="X665" s="286"/>
      <c r="Y665" s="286"/>
      <c r="Z665" s="286"/>
      <c r="AA665" s="286"/>
      <c r="AB665" s="286"/>
    </row>
    <row r="666" spans="2:28" x14ac:dyDescent="0.25">
      <c r="B666" s="319" t="str">
        <f>IF($C$1="ENG","door hinge caps (1 set)","накладка на завіси (1 к-т)")</f>
        <v>накладка на завіси (1 к-т)</v>
      </c>
      <c r="C666" s="320"/>
      <c r="D666" s="103">
        <f t="shared" si="51"/>
        <v>75</v>
      </c>
      <c r="E666" s="74">
        <f>IF($S$5=0.2,D666*1.2,D666)/$S$4</f>
        <v>90</v>
      </c>
      <c r="F666" s="24"/>
      <c r="G666" s="24"/>
      <c r="U666" s="286">
        <v>90</v>
      </c>
      <c r="V666" s="286"/>
      <c r="W666" s="286"/>
      <c r="X666" s="286"/>
      <c r="Y666" s="286"/>
      <c r="Z666" s="286"/>
      <c r="AA666" s="286"/>
      <c r="AB666" s="286"/>
    </row>
    <row r="667" spans="2:28" x14ac:dyDescent="0.25">
      <c r="B667" s="319" t="str">
        <f>IF($C$1="ENG","door handle","дверна ручка")</f>
        <v>дверна ручка</v>
      </c>
      <c r="C667" s="320"/>
      <c r="D667" s="102" t="str">
        <f t="shared" si="51"/>
        <v/>
      </c>
      <c r="E667" s="180" t="str">
        <f>IF($C$1="ENG","see Handles Price","див.Таблицю Ручки")</f>
        <v>див.Таблицю Ручки</v>
      </c>
      <c r="F667" s="24"/>
      <c r="G667" s="24"/>
      <c r="U667" s="286"/>
      <c r="V667" s="286"/>
      <c r="W667" s="286"/>
      <c r="X667" s="286"/>
      <c r="Y667" s="286"/>
      <c r="Z667" s="286"/>
      <c r="AA667" s="286"/>
      <c r="AB667" s="286"/>
    </row>
    <row r="668" spans="2:28" ht="14.25" customHeight="1" x14ac:dyDescent="0.25">
      <c r="C668" s="24"/>
      <c r="D668" s="24"/>
      <c r="E668" s="24"/>
      <c r="F668" s="24"/>
      <c r="G668" s="24"/>
      <c r="H668" s="5"/>
      <c r="P668" s="333"/>
      <c r="Q668" s="333"/>
      <c r="R668" s="333"/>
      <c r="S668" s="333"/>
    </row>
    <row r="669" spans="2:28" ht="14.25" customHeight="1" x14ac:dyDescent="0.25">
      <c r="C669" s="24"/>
      <c r="D669" s="24"/>
      <c r="E669" s="24"/>
      <c r="F669" s="24"/>
      <c r="G669" s="24"/>
      <c r="H669" s="5"/>
    </row>
    <row r="670" spans="2:28" ht="14.25" customHeight="1" x14ac:dyDescent="0.25">
      <c r="C670" s="24"/>
      <c r="D670" s="24"/>
      <c r="E670" s="24"/>
      <c r="F670" s="24"/>
      <c r="G670" s="24"/>
      <c r="H670" s="5"/>
    </row>
    <row r="671" spans="2:28" ht="14.25" customHeight="1" x14ac:dyDescent="0.25">
      <c r="C671" s="24"/>
      <c r="D671" s="24"/>
      <c r="E671" s="24"/>
      <c r="F671" s="24"/>
      <c r="G671" s="24"/>
      <c r="H671" s="5"/>
    </row>
    <row r="672" spans="2:28" ht="14.25" customHeight="1" x14ac:dyDescent="0.25">
      <c r="C672" s="24"/>
      <c r="D672" s="24"/>
      <c r="E672" s="24"/>
      <c r="F672" s="24"/>
      <c r="G672" s="24"/>
      <c r="H672" s="5"/>
    </row>
    <row r="673" spans="3:8" ht="14.25" customHeight="1" x14ac:dyDescent="0.25">
      <c r="C673" s="24"/>
      <c r="D673" s="24"/>
      <c r="E673" s="24"/>
      <c r="F673" s="24"/>
      <c r="G673" s="24"/>
      <c r="H673" s="5"/>
    </row>
    <row r="674" spans="3:8" ht="14.25" customHeight="1" x14ac:dyDescent="0.25">
      <c r="C674" s="24"/>
      <c r="D674" s="24"/>
      <c r="E674" s="24"/>
      <c r="F674" s="24"/>
      <c r="G674" s="24"/>
      <c r="H674" s="5"/>
    </row>
    <row r="675" spans="3:8" ht="14.25" customHeight="1" x14ac:dyDescent="0.25">
      <c r="C675" s="24"/>
      <c r="D675" s="24"/>
      <c r="E675" s="24"/>
      <c r="F675" s="24"/>
      <c r="G675" s="24"/>
      <c r="H675" s="5"/>
    </row>
    <row r="676" spans="3:8" ht="14.25" customHeight="1" x14ac:dyDescent="0.25">
      <c r="C676" s="24"/>
      <c r="D676" s="24"/>
      <c r="E676" s="24"/>
      <c r="F676" s="24"/>
      <c r="G676" s="24"/>
      <c r="H676" s="5"/>
    </row>
    <row r="677" spans="3:8" ht="14.25" customHeight="1" x14ac:dyDescent="0.25">
      <c r="C677" s="24"/>
      <c r="D677" s="24"/>
      <c r="E677" s="24"/>
      <c r="F677" s="24"/>
      <c r="G677" s="24"/>
      <c r="H677" s="5"/>
    </row>
    <row r="678" spans="3:8" ht="14.25" customHeight="1" x14ac:dyDescent="0.25">
      <c r="C678" s="24"/>
      <c r="D678" s="24"/>
      <c r="E678" s="24"/>
      <c r="F678" s="24"/>
      <c r="G678" s="24"/>
      <c r="H678" s="5"/>
    </row>
    <row r="679" spans="3:8" ht="14.25" customHeight="1" x14ac:dyDescent="0.25">
      <c r="C679" s="24"/>
      <c r="D679" s="24"/>
      <c r="E679" s="24"/>
      <c r="F679" s="24"/>
      <c r="G679" s="24"/>
      <c r="H679" s="5"/>
    </row>
    <row r="680" spans="3:8" ht="14.25" customHeight="1" x14ac:dyDescent="0.25">
      <c r="C680" s="24"/>
      <c r="D680" s="24"/>
      <c r="E680" s="24"/>
      <c r="F680" s="24"/>
      <c r="G680" s="24"/>
      <c r="H680" s="5"/>
    </row>
    <row r="681" spans="3:8" ht="14.25" customHeight="1" x14ac:dyDescent="0.25">
      <c r="C681" s="24"/>
      <c r="D681" s="24"/>
      <c r="E681" s="24"/>
      <c r="F681" s="24"/>
      <c r="G681" s="24"/>
      <c r="H681" s="5"/>
    </row>
    <row r="682" spans="3:8" ht="14.25" customHeight="1" x14ac:dyDescent="0.25">
      <c r="C682" s="24"/>
      <c r="D682" s="24"/>
      <c r="E682" s="24"/>
      <c r="F682" s="24"/>
      <c r="G682" s="24"/>
      <c r="H682" s="5"/>
    </row>
    <row r="683" spans="3:8" ht="14.25" customHeight="1" x14ac:dyDescent="0.25">
      <c r="C683" s="24"/>
      <c r="D683" s="24"/>
      <c r="E683" s="24"/>
      <c r="F683" s="24"/>
      <c r="G683" s="24"/>
      <c r="H683" s="5"/>
    </row>
    <row r="684" spans="3:8" ht="14.25" customHeight="1" x14ac:dyDescent="0.25">
      <c r="C684" s="24"/>
      <c r="D684" s="24"/>
      <c r="E684" s="24"/>
      <c r="F684" s="24"/>
      <c r="G684" s="24"/>
      <c r="H684" s="5"/>
    </row>
    <row r="685" spans="3:8" ht="14.25" customHeight="1" x14ac:dyDescent="0.25">
      <c r="C685" s="24"/>
      <c r="D685" s="24"/>
      <c r="E685" s="24"/>
      <c r="F685" s="24"/>
      <c r="G685" s="24"/>
      <c r="H685" s="5"/>
    </row>
    <row r="686" spans="3:8" ht="14.25" customHeight="1" x14ac:dyDescent="0.25">
      <c r="C686" s="24"/>
      <c r="D686" s="24"/>
      <c r="E686" s="24"/>
      <c r="F686" s="24"/>
      <c r="G686" s="24"/>
      <c r="H686" s="5"/>
    </row>
    <row r="687" spans="3:8" ht="14.25" customHeight="1" x14ac:dyDescent="0.25">
      <c r="C687" s="24"/>
      <c r="D687" s="24"/>
      <c r="E687" s="24"/>
      <c r="F687" s="24"/>
      <c r="G687" s="24"/>
      <c r="H687" s="5"/>
    </row>
    <row r="688" spans="3:8" ht="14.25" customHeight="1" x14ac:dyDescent="0.25">
      <c r="C688" s="24"/>
      <c r="D688" s="24"/>
      <c r="E688" s="24"/>
      <c r="F688" s="24"/>
      <c r="G688" s="24"/>
      <c r="H688" s="5"/>
    </row>
    <row r="689" spans="3:8" ht="14.25" customHeight="1" x14ac:dyDescent="0.25">
      <c r="C689" s="24"/>
      <c r="D689" s="24"/>
      <c r="E689" s="24"/>
      <c r="F689" s="24"/>
      <c r="G689" s="24"/>
      <c r="H689" s="5"/>
    </row>
    <row r="690" spans="3:8" ht="14.25" customHeight="1" x14ac:dyDescent="0.25">
      <c r="C690" s="24"/>
      <c r="D690" s="24"/>
      <c r="E690" s="24"/>
      <c r="F690" s="24"/>
      <c r="G690" s="24"/>
      <c r="H690" s="5"/>
    </row>
    <row r="691" spans="3:8" ht="14.25" customHeight="1" x14ac:dyDescent="0.25">
      <c r="C691" s="24"/>
      <c r="D691" s="24"/>
      <c r="E691" s="24"/>
      <c r="F691" s="24"/>
      <c r="G691" s="24"/>
      <c r="H691" s="5"/>
    </row>
    <row r="692" spans="3:8" ht="14.25" customHeight="1" x14ac:dyDescent="0.25">
      <c r="C692" s="24"/>
      <c r="D692" s="24"/>
      <c r="E692" s="24"/>
      <c r="F692" s="24"/>
      <c r="G692" s="24"/>
      <c r="H692" s="5"/>
    </row>
    <row r="693" spans="3:8" ht="14.25" customHeight="1" x14ac:dyDescent="0.25">
      <c r="C693" s="24"/>
      <c r="D693" s="24"/>
      <c r="E693" s="24"/>
      <c r="F693" s="24"/>
      <c r="G693" s="24"/>
      <c r="H693" s="5"/>
    </row>
    <row r="694" spans="3:8" ht="14.25" customHeight="1" x14ac:dyDescent="0.25">
      <c r="C694" s="24"/>
      <c r="D694" s="24"/>
      <c r="E694" s="24"/>
      <c r="F694" s="24"/>
      <c r="G694" s="24"/>
      <c r="H694" s="5"/>
    </row>
    <row r="695" spans="3:8" ht="14.25" customHeight="1" x14ac:dyDescent="0.25">
      <c r="C695" s="24"/>
      <c r="D695" s="24"/>
      <c r="E695" s="24"/>
      <c r="F695" s="24"/>
      <c r="G695" s="24"/>
      <c r="H695" s="5"/>
    </row>
    <row r="696" spans="3:8" ht="14.25" customHeight="1" x14ac:dyDescent="0.25">
      <c r="C696" s="24"/>
      <c r="D696" s="24"/>
      <c r="E696" s="24"/>
      <c r="F696" s="24"/>
      <c r="G696" s="24"/>
      <c r="H696" s="5"/>
    </row>
    <row r="697" spans="3:8" ht="14.25" customHeight="1" x14ac:dyDescent="0.25">
      <c r="C697" s="24"/>
      <c r="D697" s="24"/>
      <c r="E697" s="24"/>
      <c r="F697" s="24"/>
      <c r="G697" s="24"/>
      <c r="H697" s="5"/>
    </row>
    <row r="698" spans="3:8" ht="14.25" customHeight="1" x14ac:dyDescent="0.25">
      <c r="C698" s="24"/>
      <c r="D698" s="24"/>
      <c r="E698" s="24"/>
      <c r="F698" s="24"/>
      <c r="G698" s="24"/>
      <c r="H698" s="5"/>
    </row>
    <row r="699" spans="3:8" ht="14.25" customHeight="1" x14ac:dyDescent="0.25">
      <c r="C699" s="24"/>
      <c r="D699" s="24"/>
      <c r="E699" s="24"/>
      <c r="F699" s="24"/>
      <c r="G699" s="24"/>
      <c r="H699" s="5"/>
    </row>
    <row r="700" spans="3:8" ht="14.25" customHeight="1" x14ac:dyDescent="0.25">
      <c r="C700" s="24"/>
      <c r="D700" s="24"/>
      <c r="E700" s="24"/>
      <c r="F700" s="24"/>
      <c r="G700" s="24"/>
      <c r="H700" s="5"/>
    </row>
    <row r="701" spans="3:8" ht="14.25" customHeight="1" x14ac:dyDescent="0.25">
      <c r="C701" s="24"/>
      <c r="D701" s="24"/>
      <c r="E701" s="24"/>
      <c r="F701" s="24"/>
      <c r="G701" s="24"/>
      <c r="H701" s="5"/>
    </row>
    <row r="702" spans="3:8" ht="14.25" customHeight="1" x14ac:dyDescent="0.25">
      <c r="C702" s="24"/>
      <c r="D702" s="24"/>
      <c r="E702" s="24"/>
      <c r="F702" s="24"/>
      <c r="G702" s="24"/>
      <c r="H702" s="5"/>
    </row>
    <row r="703" spans="3:8" ht="14.25" customHeight="1" x14ac:dyDescent="0.25">
      <c r="C703" s="24"/>
      <c r="D703" s="24"/>
      <c r="E703" s="24"/>
      <c r="F703" s="24"/>
      <c r="G703" s="24"/>
      <c r="H703" s="5"/>
    </row>
    <row r="704" spans="3:8" ht="14.25" customHeight="1" x14ac:dyDescent="0.25">
      <c r="C704" s="24"/>
      <c r="D704" s="24"/>
      <c r="E704" s="24"/>
      <c r="F704" s="24"/>
      <c r="G704" s="24"/>
      <c r="H704" s="5"/>
    </row>
    <row r="705" spans="3:8" ht="14.25" customHeight="1" x14ac:dyDescent="0.25">
      <c r="C705" s="24"/>
      <c r="D705" s="24"/>
      <c r="E705" s="24"/>
      <c r="F705" s="24"/>
      <c r="G705" s="24"/>
      <c r="H705" s="5"/>
    </row>
    <row r="706" spans="3:8" ht="14.25" customHeight="1" x14ac:dyDescent="0.25">
      <c r="C706" s="24"/>
      <c r="D706" s="24"/>
      <c r="E706" s="24"/>
      <c r="F706" s="24"/>
      <c r="G706" s="24"/>
      <c r="H706" s="5"/>
    </row>
    <row r="707" spans="3:8" ht="14.25" customHeight="1" x14ac:dyDescent="0.25">
      <c r="C707" s="24"/>
      <c r="D707" s="24"/>
      <c r="E707" s="24"/>
      <c r="F707" s="24"/>
      <c r="G707" s="24"/>
      <c r="H707" s="5"/>
    </row>
    <row r="708" spans="3:8" ht="14.25" customHeight="1" x14ac:dyDescent="0.25">
      <c r="C708" s="24"/>
      <c r="D708" s="24"/>
      <c r="E708" s="24"/>
      <c r="F708" s="24"/>
      <c r="G708" s="24"/>
      <c r="H708" s="5"/>
    </row>
    <row r="709" spans="3:8" ht="14.25" customHeight="1" x14ac:dyDescent="0.25">
      <c r="C709" s="24"/>
      <c r="D709" s="24"/>
      <c r="E709" s="24"/>
      <c r="F709" s="24"/>
      <c r="G709" s="24"/>
      <c r="H709" s="5"/>
    </row>
    <row r="710" spans="3:8" ht="14.25" customHeight="1" x14ac:dyDescent="0.25">
      <c r="C710" s="24"/>
      <c r="D710" s="24"/>
      <c r="E710" s="24"/>
      <c r="F710" s="24"/>
      <c r="G710" s="24"/>
      <c r="H710" s="5"/>
    </row>
    <row r="711" spans="3:8" ht="14.25" customHeight="1" x14ac:dyDescent="0.25">
      <c r="C711" s="24"/>
      <c r="D711" s="24"/>
      <c r="E711" s="24"/>
      <c r="F711" s="24"/>
      <c r="G711" s="24"/>
      <c r="H711" s="5"/>
    </row>
    <row r="712" spans="3:8" ht="14.25" customHeight="1" x14ac:dyDescent="0.25">
      <c r="C712" s="24"/>
      <c r="D712" s="24"/>
      <c r="E712" s="24"/>
      <c r="F712" s="24"/>
      <c r="G712" s="24"/>
      <c r="H712" s="5"/>
    </row>
    <row r="713" spans="3:8" ht="14.25" customHeight="1" x14ac:dyDescent="0.25">
      <c r="C713" s="24"/>
      <c r="D713" s="24"/>
      <c r="E713" s="24"/>
      <c r="F713" s="24"/>
      <c r="G713" s="24"/>
      <c r="H713" s="5"/>
    </row>
    <row r="714" spans="3:8" ht="14.25" customHeight="1" x14ac:dyDescent="0.25">
      <c r="C714" s="24"/>
      <c r="D714" s="24"/>
      <c r="E714" s="24"/>
      <c r="F714" s="24"/>
      <c r="G714" s="24"/>
      <c r="H714" s="5"/>
    </row>
    <row r="715" spans="3:8" ht="14.25" customHeight="1" x14ac:dyDescent="0.25">
      <c r="C715" s="24"/>
      <c r="D715" s="24"/>
      <c r="E715" s="24"/>
      <c r="F715" s="24"/>
      <c r="G715" s="24"/>
      <c r="H715" s="5"/>
    </row>
    <row r="716" spans="3:8" ht="14.25" customHeight="1" x14ac:dyDescent="0.25">
      <c r="C716" s="24"/>
      <c r="D716" s="24"/>
      <c r="E716" s="24"/>
      <c r="F716" s="24"/>
      <c r="G716" s="24"/>
      <c r="H716" s="5"/>
    </row>
    <row r="717" spans="3:8" ht="14.25" customHeight="1" x14ac:dyDescent="0.25">
      <c r="C717" s="24"/>
      <c r="D717" s="24"/>
      <c r="E717" s="24"/>
      <c r="F717" s="24"/>
      <c r="G717" s="24"/>
      <c r="H717" s="5"/>
    </row>
    <row r="718" spans="3:8" ht="14.25" customHeight="1" x14ac:dyDescent="0.25">
      <c r="C718" s="24"/>
      <c r="D718" s="24"/>
      <c r="E718" s="24"/>
      <c r="F718" s="24"/>
      <c r="G718" s="24"/>
      <c r="H718" s="5"/>
    </row>
    <row r="719" spans="3:8" ht="14.25" customHeight="1" x14ac:dyDescent="0.25">
      <c r="C719" s="24"/>
      <c r="D719" s="24"/>
      <c r="E719" s="24"/>
      <c r="F719" s="24"/>
      <c r="G719" s="24"/>
      <c r="H719" s="5"/>
    </row>
    <row r="720" spans="3:8" ht="14.25" customHeight="1" x14ac:dyDescent="0.25">
      <c r="C720" s="24"/>
      <c r="D720" s="24"/>
      <c r="E720" s="24"/>
      <c r="F720" s="24"/>
      <c r="G720" s="24"/>
      <c r="H720" s="5"/>
    </row>
    <row r="721" spans="3:8" ht="14.25" customHeight="1" x14ac:dyDescent="0.25">
      <c r="C721" s="24"/>
      <c r="D721" s="24"/>
      <c r="E721" s="24"/>
      <c r="F721" s="24"/>
      <c r="G721" s="24"/>
      <c r="H721" s="5"/>
    </row>
    <row r="722" spans="3:8" ht="14.25" customHeight="1" x14ac:dyDescent="0.25">
      <c r="C722" s="24"/>
      <c r="D722" s="24"/>
      <c r="E722" s="24"/>
      <c r="F722" s="24"/>
      <c r="G722" s="24"/>
      <c r="H722" s="5"/>
    </row>
    <row r="723" spans="3:8" ht="14.25" customHeight="1" x14ac:dyDescent="0.25">
      <c r="C723" s="24"/>
      <c r="D723" s="24"/>
      <c r="E723" s="24"/>
      <c r="F723" s="24"/>
      <c r="G723" s="24"/>
      <c r="H723" s="5"/>
    </row>
    <row r="724" spans="3:8" ht="14.25" customHeight="1" x14ac:dyDescent="0.25">
      <c r="C724" s="24"/>
      <c r="D724" s="24"/>
      <c r="E724" s="24"/>
      <c r="F724" s="24"/>
      <c r="G724" s="24"/>
      <c r="H724" s="5"/>
    </row>
    <row r="725" spans="3:8" ht="14.25" customHeight="1" x14ac:dyDescent="0.25">
      <c r="C725" s="24"/>
      <c r="D725" s="24"/>
      <c r="E725" s="24"/>
      <c r="F725" s="24"/>
      <c r="G725" s="24"/>
      <c r="H725" s="5"/>
    </row>
    <row r="726" spans="3:8" ht="14.25" customHeight="1" x14ac:dyDescent="0.25">
      <c r="C726" s="24"/>
      <c r="D726" s="24"/>
      <c r="E726" s="24"/>
      <c r="F726" s="24"/>
      <c r="G726" s="24"/>
      <c r="H726" s="5"/>
    </row>
    <row r="727" spans="3:8" ht="14.25" customHeight="1" x14ac:dyDescent="0.25">
      <c r="C727" s="24"/>
      <c r="D727" s="24"/>
      <c r="E727" s="24"/>
      <c r="F727" s="24"/>
      <c r="G727" s="24"/>
      <c r="H727" s="5"/>
    </row>
    <row r="728" spans="3:8" ht="14.25" customHeight="1" x14ac:dyDescent="0.25">
      <c r="C728" s="24"/>
      <c r="D728" s="24"/>
      <c r="E728" s="24"/>
      <c r="F728" s="24"/>
      <c r="G728" s="24"/>
      <c r="H728" s="5"/>
    </row>
    <row r="729" spans="3:8" ht="14.25" customHeight="1" x14ac:dyDescent="0.25">
      <c r="C729" s="24"/>
      <c r="D729" s="24"/>
      <c r="E729" s="24"/>
      <c r="F729" s="24"/>
      <c r="G729" s="24"/>
      <c r="H729" s="5"/>
    </row>
    <row r="730" spans="3:8" ht="14.25" customHeight="1" x14ac:dyDescent="0.25">
      <c r="C730" s="24"/>
      <c r="D730" s="24"/>
      <c r="E730" s="24"/>
      <c r="F730" s="24"/>
      <c r="G730" s="24"/>
      <c r="H730" s="5"/>
    </row>
    <row r="731" spans="3:8" ht="14.25" customHeight="1" x14ac:dyDescent="0.25">
      <c r="C731" s="24"/>
      <c r="D731" s="24"/>
      <c r="E731" s="24"/>
      <c r="F731" s="24"/>
      <c r="G731" s="24"/>
      <c r="H731" s="5"/>
    </row>
    <row r="732" spans="3:8" ht="14.25" customHeight="1" x14ac:dyDescent="0.25">
      <c r="C732" s="24"/>
      <c r="D732" s="24"/>
      <c r="E732" s="24"/>
      <c r="F732" s="24"/>
      <c r="G732" s="24"/>
      <c r="H732" s="5"/>
    </row>
    <row r="733" spans="3:8" ht="14.25" customHeight="1" x14ac:dyDescent="0.25">
      <c r="C733" s="24"/>
      <c r="D733" s="24"/>
      <c r="E733" s="24"/>
      <c r="F733" s="24"/>
      <c r="G733" s="24"/>
      <c r="H733" s="5"/>
    </row>
    <row r="734" spans="3:8" ht="14.25" customHeight="1" x14ac:dyDescent="0.25">
      <c r="C734" s="24"/>
      <c r="D734" s="24"/>
      <c r="E734" s="24"/>
      <c r="F734" s="24"/>
      <c r="G734" s="24"/>
      <c r="H734" s="5"/>
    </row>
    <row r="735" spans="3:8" ht="14.25" customHeight="1" x14ac:dyDescent="0.25">
      <c r="C735" s="24"/>
      <c r="D735" s="24"/>
      <c r="E735" s="24"/>
      <c r="F735" s="24"/>
      <c r="G735" s="24"/>
      <c r="H735" s="5"/>
    </row>
    <row r="736" spans="3:8" ht="14.25" customHeight="1" x14ac:dyDescent="0.25">
      <c r="C736" s="24"/>
      <c r="D736" s="24"/>
      <c r="E736" s="24"/>
      <c r="F736" s="24"/>
      <c r="G736" s="24"/>
      <c r="H736" s="5"/>
    </row>
    <row r="737" spans="3:8" ht="14.25" customHeight="1" x14ac:dyDescent="0.25">
      <c r="C737" s="24"/>
      <c r="D737" s="24"/>
      <c r="E737" s="24"/>
      <c r="F737" s="24"/>
      <c r="G737" s="24"/>
      <c r="H737" s="5"/>
    </row>
    <row r="738" spans="3:8" ht="14.25" customHeight="1" x14ac:dyDescent="0.25">
      <c r="C738" s="24"/>
      <c r="D738" s="24"/>
      <c r="E738" s="24"/>
      <c r="F738" s="24"/>
      <c r="G738" s="24"/>
      <c r="H738" s="5"/>
    </row>
    <row r="739" spans="3:8" ht="14.25" customHeight="1" x14ac:dyDescent="0.25">
      <c r="C739" s="24"/>
      <c r="D739" s="24"/>
      <c r="E739" s="24"/>
      <c r="F739" s="24"/>
      <c r="G739" s="24"/>
      <c r="H739" s="5"/>
    </row>
    <row r="740" spans="3:8" ht="14.25" customHeight="1" x14ac:dyDescent="0.25">
      <c r="C740" s="24"/>
      <c r="D740" s="24"/>
      <c r="E740" s="24"/>
      <c r="F740" s="24"/>
      <c r="G740" s="24"/>
      <c r="H740" s="5"/>
    </row>
    <row r="741" spans="3:8" ht="14.25" customHeight="1" x14ac:dyDescent="0.25">
      <c r="C741" s="24"/>
      <c r="D741" s="24"/>
      <c r="E741" s="24"/>
      <c r="F741" s="24"/>
      <c r="G741" s="24"/>
      <c r="H741" s="5"/>
    </row>
    <row r="742" spans="3:8" ht="14.25" customHeight="1" x14ac:dyDescent="0.25">
      <c r="C742" s="24"/>
      <c r="D742" s="24"/>
      <c r="E742" s="24"/>
      <c r="F742" s="24"/>
      <c r="G742" s="24"/>
      <c r="H742" s="5"/>
    </row>
    <row r="743" spans="3:8" ht="14.25" customHeight="1" x14ac:dyDescent="0.25">
      <c r="C743" s="24"/>
      <c r="D743" s="24"/>
      <c r="E743" s="24"/>
      <c r="F743" s="24"/>
      <c r="G743" s="24"/>
      <c r="H743" s="5"/>
    </row>
    <row r="744" spans="3:8" ht="14.25" customHeight="1" x14ac:dyDescent="0.25">
      <c r="C744" s="24"/>
      <c r="D744" s="24"/>
      <c r="E744" s="24"/>
      <c r="F744" s="24"/>
      <c r="G744" s="24"/>
      <c r="H744" s="5"/>
    </row>
    <row r="745" spans="3:8" ht="14.25" customHeight="1" x14ac:dyDescent="0.25">
      <c r="C745" s="24"/>
      <c r="D745" s="24"/>
      <c r="E745" s="24"/>
      <c r="F745" s="24"/>
      <c r="G745" s="24"/>
      <c r="H745" s="5"/>
    </row>
    <row r="746" spans="3:8" ht="14.25" customHeight="1" x14ac:dyDescent="0.25">
      <c r="C746" s="24"/>
      <c r="D746" s="24"/>
      <c r="E746" s="24"/>
      <c r="F746" s="24"/>
      <c r="G746" s="24"/>
      <c r="H746" s="5"/>
    </row>
    <row r="747" spans="3:8" ht="14.25" customHeight="1" x14ac:dyDescent="0.25">
      <c r="C747" s="24"/>
      <c r="D747" s="24"/>
      <c r="E747" s="24"/>
      <c r="F747" s="24"/>
      <c r="G747" s="24"/>
      <c r="H747" s="5"/>
    </row>
    <row r="748" spans="3:8" ht="14.25" customHeight="1" x14ac:dyDescent="0.25">
      <c r="C748" s="24"/>
      <c r="D748" s="24"/>
      <c r="E748" s="24"/>
      <c r="F748" s="24"/>
      <c r="G748" s="24"/>
      <c r="H748" s="5"/>
    </row>
    <row r="749" spans="3:8" ht="14.25" customHeight="1" x14ac:dyDescent="0.25">
      <c r="C749" s="24"/>
      <c r="D749" s="24"/>
      <c r="E749" s="24"/>
      <c r="F749" s="24"/>
      <c r="G749" s="24"/>
      <c r="H749" s="5"/>
    </row>
    <row r="750" spans="3:8" ht="14.25" customHeight="1" x14ac:dyDescent="0.25">
      <c r="C750" s="24"/>
      <c r="D750" s="24"/>
      <c r="E750" s="24"/>
      <c r="F750" s="24"/>
      <c r="G750" s="24"/>
      <c r="H750" s="5"/>
    </row>
    <row r="751" spans="3:8" ht="14.25" customHeight="1" x14ac:dyDescent="0.25">
      <c r="C751" s="24"/>
      <c r="D751" s="24"/>
      <c r="E751" s="24"/>
      <c r="F751" s="24"/>
      <c r="G751" s="24"/>
      <c r="H751" s="5"/>
    </row>
    <row r="752" spans="3:8" ht="14.25" customHeight="1" x14ac:dyDescent="0.25">
      <c r="C752" s="24"/>
      <c r="D752" s="24"/>
      <c r="E752" s="24"/>
      <c r="F752" s="24"/>
      <c r="G752" s="24"/>
      <c r="H752" s="5"/>
    </row>
    <row r="753" spans="2:19" ht="14.25" customHeight="1" x14ac:dyDescent="0.25">
      <c r="C753" s="24"/>
      <c r="D753" s="24"/>
      <c r="E753" s="24"/>
      <c r="F753" s="24"/>
      <c r="G753" s="24"/>
      <c r="H753" s="5"/>
    </row>
    <row r="754" spans="2:19" ht="14.25" customHeight="1" x14ac:dyDescent="0.25">
      <c r="C754" s="24"/>
      <c r="D754" s="24"/>
      <c r="E754" s="24"/>
      <c r="F754" s="24"/>
      <c r="G754" s="24"/>
      <c r="H754" s="5"/>
    </row>
    <row r="755" spans="2:19" ht="14.25" customHeight="1" x14ac:dyDescent="0.25">
      <c r="C755" s="24"/>
      <c r="D755" s="24"/>
      <c r="E755" s="24"/>
      <c r="F755" s="24"/>
      <c r="G755" s="24"/>
      <c r="H755" s="5"/>
    </row>
    <row r="756" spans="2:19" ht="14.25" customHeight="1" x14ac:dyDescent="0.25">
      <c r="C756" s="24"/>
      <c r="D756" s="24"/>
      <c r="E756" s="24"/>
      <c r="F756" s="24"/>
      <c r="G756" s="24"/>
      <c r="H756" s="5"/>
    </row>
    <row r="757" spans="2:19" ht="14.25" customHeight="1" x14ac:dyDescent="0.25">
      <c r="C757" s="24"/>
      <c r="D757" s="24"/>
      <c r="E757" s="24"/>
      <c r="F757" s="24"/>
      <c r="G757" s="24"/>
      <c r="H757" s="5"/>
    </row>
    <row r="758" spans="2:19" ht="14.25" customHeight="1" x14ac:dyDescent="0.25">
      <c r="C758" s="24"/>
      <c r="D758" s="24"/>
      <c r="E758" s="24"/>
      <c r="F758" s="24"/>
      <c r="G758" s="24"/>
      <c r="H758" s="5"/>
    </row>
    <row r="759" spans="2:19" ht="14.25" customHeight="1" x14ac:dyDescent="0.25">
      <c r="C759" s="24"/>
      <c r="D759" s="24"/>
      <c r="E759" s="24"/>
      <c r="F759" s="24"/>
      <c r="G759" s="24"/>
      <c r="H759" s="5"/>
    </row>
    <row r="760" spans="2:19" ht="14.25" customHeight="1" x14ac:dyDescent="0.25">
      <c r="C760" s="24"/>
      <c r="D760" s="24"/>
      <c r="E760" s="24"/>
      <c r="F760" s="24"/>
      <c r="G760" s="24"/>
      <c r="H760" s="5"/>
    </row>
    <row r="761" spans="2:19" ht="14.25" customHeight="1" x14ac:dyDescent="0.25">
      <c r="C761" s="24"/>
      <c r="D761" s="24"/>
      <c r="E761" s="24"/>
      <c r="F761" s="24"/>
      <c r="G761" s="24"/>
      <c r="H761" s="5"/>
    </row>
    <row r="762" spans="2:19" ht="14.25" customHeight="1" x14ac:dyDescent="0.25">
      <c r="C762" s="24"/>
      <c r="D762" s="24"/>
      <c r="E762" s="24"/>
      <c r="F762" s="24"/>
      <c r="G762" s="24"/>
      <c r="H762" s="5"/>
    </row>
    <row r="763" spans="2:19" ht="14.25" customHeight="1" x14ac:dyDescent="0.25">
      <c r="C763" s="24"/>
      <c r="D763" s="24"/>
      <c r="E763" s="24"/>
      <c r="F763" s="24"/>
      <c r="G763" s="24"/>
      <c r="H763" s="5"/>
    </row>
    <row r="764" spans="2:19" ht="14.25" customHeight="1" x14ac:dyDescent="0.25">
      <c r="C764" s="24"/>
      <c r="D764" s="24"/>
      <c r="E764" s="24"/>
      <c r="F764" s="24"/>
      <c r="G764" s="24"/>
      <c r="H764" s="5"/>
    </row>
    <row r="765" spans="2:19" ht="12.75" customHeight="1" x14ac:dyDescent="0.25">
      <c r="B765" s="321" t="str">
        <f>TITLE!C19</f>
        <v>Полотна збірні: ECO-VIENTO</v>
      </c>
      <c r="C765" s="321"/>
      <c r="D765" s="93"/>
      <c r="E765" s="277"/>
      <c r="F765" s="93"/>
      <c r="G765" s="93"/>
      <c r="H765" s="322"/>
      <c r="I765" s="322"/>
      <c r="J765" s="94"/>
      <c r="K765" s="94"/>
      <c r="L765" s="94"/>
      <c r="M765" s="94"/>
      <c r="N765" s="94"/>
      <c r="O765" s="94"/>
      <c r="P765" s="323"/>
      <c r="Q765" s="323"/>
      <c r="R765" s="323"/>
      <c r="S765" s="323"/>
    </row>
    <row r="766" spans="2:19" ht="4.5" customHeight="1" x14ac:dyDescent="0.25">
      <c r="B766" s="92"/>
      <c r="C766" s="92"/>
      <c r="D766" s="9"/>
      <c r="E766" s="9"/>
      <c r="F766" s="10"/>
      <c r="G766" s="10"/>
      <c r="H766" s="109"/>
      <c r="I766" s="109"/>
      <c r="L766" s="8"/>
      <c r="M766" s="8"/>
      <c r="N766" s="8"/>
      <c r="O766" s="8"/>
      <c r="P766" s="88"/>
      <c r="Q766" s="88"/>
      <c r="R766" s="88"/>
      <c r="S766" s="88"/>
    </row>
    <row r="767" spans="2:19" ht="12.75" customHeight="1" x14ac:dyDescent="0.25">
      <c r="B767" s="324" t="str">
        <f>IF($C$1="ENG","model","модель")</f>
        <v>модель</v>
      </c>
      <c r="C767" s="95" t="str">
        <f>IF($C$1="ENG","cover:","покриття:")</f>
        <v>покриття:</v>
      </c>
      <c r="D767" s="327" t="str">
        <f>IF($C$1="ENG","ECO-CELL","ECO-CELL")</f>
        <v>ECO-CELL</v>
      </c>
      <c r="E767" s="328"/>
      <c r="F767" s="327" t="str">
        <f>IF($C$1="ENG","ECO-RESIST","ECO-RESIST")</f>
        <v>ECO-RESIST</v>
      </c>
      <c r="G767" s="328"/>
      <c r="H767" s="35"/>
      <c r="I767" s="35"/>
      <c r="J767" s="35"/>
      <c r="K767" s="35"/>
      <c r="L767" s="8"/>
      <c r="M767" s="8"/>
      <c r="N767" s="8"/>
      <c r="O767" s="8"/>
      <c r="P767" s="88"/>
      <c r="Q767" s="88"/>
      <c r="R767" s="88"/>
      <c r="S767" s="88"/>
    </row>
    <row r="768" spans="2:19" ht="12.75" customHeight="1" x14ac:dyDescent="0.25">
      <c r="B768" s="325"/>
      <c r="C768" s="96" t="str">
        <f>IF($C$1="ENG","filling:","заповнення:")</f>
        <v>заповнення:</v>
      </c>
      <c r="D768" s="329" t="str">
        <f>IF($C$1="ENG","MDF","MDF")</f>
        <v>MDF</v>
      </c>
      <c r="E768" s="330"/>
      <c r="F768" s="329" t="str">
        <f>IF($C$1="ENG","MDF","MDF")</f>
        <v>MDF</v>
      </c>
      <c r="G768" s="330"/>
      <c r="H768" s="36"/>
      <c r="I768" s="36"/>
      <c r="J768" s="36"/>
      <c r="K768" s="36"/>
      <c r="L768" s="8"/>
      <c r="M768" s="8"/>
      <c r="N768" s="8"/>
      <c r="O768" s="8"/>
      <c r="P768" s="88"/>
      <c r="Q768" s="88"/>
      <c r="R768" s="88"/>
      <c r="S768" s="88"/>
    </row>
    <row r="769" spans="2:28" ht="12.75" customHeight="1" x14ac:dyDescent="0.25">
      <c r="B769" s="326"/>
      <c r="C769" s="97" t="str">
        <f>IF($C$1="ENG","glazing:","скління:")</f>
        <v>скління:</v>
      </c>
      <c r="D769" s="331" t="str">
        <f>IF($C$1="ENG","Satin","Сатин")</f>
        <v>Сатин</v>
      </c>
      <c r="E769" s="332"/>
      <c r="F769" s="331" t="str">
        <f>IF($C$1="ENG","Satin","Сатин")</f>
        <v>Сатин</v>
      </c>
      <c r="G769" s="332"/>
      <c r="H769" s="36"/>
      <c r="I769" s="36"/>
      <c r="J769" s="36"/>
      <c r="K769" s="36"/>
      <c r="L769" s="11"/>
      <c r="M769" s="11"/>
      <c r="N769" s="11"/>
      <c r="O769" s="11"/>
      <c r="P769" s="11"/>
    </row>
    <row r="770" spans="2:28" ht="34.5" customHeight="1" x14ac:dyDescent="0.25">
      <c r="B770" s="13" t="s">
        <v>38</v>
      </c>
      <c r="C770" s="14"/>
      <c r="D770" s="15">
        <f t="shared" ref="D770:D776" si="53">IF(U770="","",(1-$S$2)*(U770/1.2))</f>
        <v>4250</v>
      </c>
      <c r="E770" s="54">
        <f t="shared" ref="E770:E776" si="54">IF($S$5=0.2,D770*1.2,D770)/$S$4</f>
        <v>5100</v>
      </c>
      <c r="F770" s="15">
        <f>IF(V770="","",(1-$S$2)*(V770/1.2))</f>
        <v>4950</v>
      </c>
      <c r="G770" s="54">
        <f t="shared" ref="G770:G776" si="55">IF($S$5=0.2,F770*1.2,F770)/$S$4</f>
        <v>5940</v>
      </c>
      <c r="H770" s="26"/>
      <c r="I770" s="49"/>
      <c r="J770" s="26"/>
      <c r="K770" s="49"/>
      <c r="L770" s="80"/>
      <c r="M770" s="20"/>
      <c r="N770" s="80"/>
      <c r="O770" s="20"/>
      <c r="P770" s="80"/>
      <c r="Q770" s="20"/>
      <c r="R770" s="80"/>
      <c r="S770" s="20"/>
      <c r="U770" s="286">
        <v>5100</v>
      </c>
      <c r="V770" s="286">
        <v>5940</v>
      </c>
      <c r="W770" s="286"/>
      <c r="X770" s="286"/>
      <c r="Y770" s="286"/>
      <c r="Z770" s="286"/>
      <c r="AA770" s="286"/>
      <c r="AB770" s="286"/>
    </row>
    <row r="771" spans="2:28" ht="34.5" customHeight="1" x14ac:dyDescent="0.25">
      <c r="B771" s="16" t="s">
        <v>39</v>
      </c>
      <c r="C771" s="17"/>
      <c r="D771" s="18">
        <f t="shared" si="53"/>
        <v>4250</v>
      </c>
      <c r="E771" s="56">
        <f t="shared" si="54"/>
        <v>5100</v>
      </c>
      <c r="F771" s="15">
        <f t="shared" ref="F771:F776" si="56">IF(V771="","",(1-$S$2)*(V771/1.2))</f>
        <v>4950</v>
      </c>
      <c r="G771" s="56">
        <f t="shared" si="55"/>
        <v>5940</v>
      </c>
      <c r="H771" s="26"/>
      <c r="I771" s="49"/>
      <c r="J771" s="26"/>
      <c r="K771" s="49"/>
      <c r="L771" s="80"/>
      <c r="M771" s="20"/>
      <c r="N771" s="80"/>
      <c r="O771" s="20"/>
      <c r="P771" s="80"/>
      <c r="Q771" s="20"/>
      <c r="R771" s="80"/>
      <c r="S771" s="20"/>
      <c r="U771" s="286">
        <v>5100</v>
      </c>
      <c r="V771" s="286">
        <v>5940</v>
      </c>
      <c r="W771" s="286"/>
      <c r="X771" s="286"/>
      <c r="Y771" s="286"/>
      <c r="Z771" s="286"/>
      <c r="AA771" s="286"/>
      <c r="AB771" s="286"/>
    </row>
    <row r="772" spans="2:28" ht="34.5" customHeight="1" x14ac:dyDescent="0.25">
      <c r="B772" s="16" t="s">
        <v>40</v>
      </c>
      <c r="C772" s="17"/>
      <c r="D772" s="18">
        <f t="shared" si="53"/>
        <v>4250</v>
      </c>
      <c r="E772" s="56">
        <f t="shared" si="54"/>
        <v>5100</v>
      </c>
      <c r="F772" s="15">
        <f t="shared" si="56"/>
        <v>4950</v>
      </c>
      <c r="G772" s="56">
        <f t="shared" si="55"/>
        <v>5940</v>
      </c>
      <c r="H772" s="26"/>
      <c r="I772" s="49"/>
      <c r="J772" s="26"/>
      <c r="K772" s="49"/>
      <c r="L772" s="80"/>
      <c r="M772" s="20"/>
      <c r="N772" s="80"/>
      <c r="O772" s="20"/>
      <c r="P772" s="80"/>
      <c r="Q772" s="20"/>
      <c r="R772" s="80"/>
      <c r="S772" s="20"/>
      <c r="U772" s="286">
        <v>5100</v>
      </c>
      <c r="V772" s="286">
        <v>5940</v>
      </c>
      <c r="W772" s="286"/>
      <c r="X772" s="286"/>
      <c r="Y772" s="286"/>
      <c r="Z772" s="286"/>
      <c r="AA772" s="286"/>
      <c r="AB772" s="286"/>
    </row>
    <row r="773" spans="2:28" ht="34.5" customHeight="1" x14ac:dyDescent="0.25">
      <c r="B773" s="16" t="s">
        <v>41</v>
      </c>
      <c r="C773" s="17"/>
      <c r="D773" s="18">
        <f t="shared" si="53"/>
        <v>4250</v>
      </c>
      <c r="E773" s="56">
        <f t="shared" si="54"/>
        <v>5100</v>
      </c>
      <c r="F773" s="15">
        <f t="shared" si="56"/>
        <v>4950</v>
      </c>
      <c r="G773" s="56">
        <f t="shared" si="55"/>
        <v>5940</v>
      </c>
      <c r="H773" s="26"/>
      <c r="I773" s="49"/>
      <c r="J773" s="26"/>
      <c r="K773" s="49"/>
      <c r="L773" s="80"/>
      <c r="M773" s="20"/>
      <c r="N773" s="80"/>
      <c r="O773" s="20"/>
      <c r="P773" s="80"/>
      <c r="Q773" s="20"/>
      <c r="R773" s="80"/>
      <c r="S773" s="20"/>
      <c r="U773" s="286">
        <v>5100</v>
      </c>
      <c r="V773" s="286">
        <v>5940</v>
      </c>
      <c r="W773" s="286"/>
      <c r="X773" s="286"/>
      <c r="Y773" s="286"/>
      <c r="Z773" s="286"/>
      <c r="AA773" s="286"/>
      <c r="AB773" s="286"/>
    </row>
    <row r="774" spans="2:28" ht="34.5" customHeight="1" x14ac:dyDescent="0.25">
      <c r="B774" s="16" t="s">
        <v>42</v>
      </c>
      <c r="C774" s="279"/>
      <c r="D774" s="18">
        <f t="shared" si="53"/>
        <v>4250</v>
      </c>
      <c r="E774" s="56">
        <f t="shared" si="54"/>
        <v>5100</v>
      </c>
      <c r="F774" s="15">
        <f t="shared" si="56"/>
        <v>4950</v>
      </c>
      <c r="G774" s="56">
        <f t="shared" si="55"/>
        <v>5940</v>
      </c>
      <c r="H774" s="26"/>
      <c r="I774" s="49"/>
      <c r="J774" s="26"/>
      <c r="K774" s="49"/>
      <c r="L774" s="80"/>
      <c r="M774" s="20"/>
      <c r="N774" s="80"/>
      <c r="O774" s="20"/>
      <c r="P774" s="80"/>
      <c r="Q774" s="20"/>
      <c r="R774" s="80"/>
      <c r="S774" s="20"/>
      <c r="U774" s="286">
        <v>5100</v>
      </c>
      <c r="V774" s="286">
        <v>5940</v>
      </c>
      <c r="W774" s="286"/>
      <c r="X774" s="286"/>
      <c r="Y774" s="286"/>
      <c r="Z774" s="286"/>
      <c r="AA774" s="286"/>
      <c r="AB774" s="286"/>
    </row>
    <row r="775" spans="2:28" ht="34.5" customHeight="1" x14ac:dyDescent="0.25">
      <c r="B775" s="16" t="s">
        <v>60</v>
      </c>
      <c r="C775" s="279"/>
      <c r="D775" s="18">
        <f t="shared" si="53"/>
        <v>4250</v>
      </c>
      <c r="E775" s="56">
        <f t="shared" si="54"/>
        <v>5100</v>
      </c>
      <c r="F775" s="15">
        <f t="shared" si="56"/>
        <v>4950</v>
      </c>
      <c r="G775" s="56">
        <f t="shared" si="55"/>
        <v>5940</v>
      </c>
      <c r="H775" s="26"/>
      <c r="I775" s="49"/>
      <c r="J775" s="26"/>
      <c r="K775" s="49"/>
      <c r="L775" s="80"/>
      <c r="M775" s="20"/>
      <c r="N775" s="80"/>
      <c r="O775" s="20"/>
      <c r="P775" s="80"/>
      <c r="Q775" s="20"/>
      <c r="R775" s="80"/>
      <c r="S775" s="20"/>
      <c r="U775" s="286">
        <v>5100</v>
      </c>
      <c r="V775" s="286">
        <v>5940</v>
      </c>
      <c r="W775" s="286"/>
      <c r="X775" s="286"/>
      <c r="Y775" s="286"/>
      <c r="Z775" s="286"/>
      <c r="AA775" s="286"/>
      <c r="AB775" s="286"/>
    </row>
    <row r="776" spans="2:28" ht="34.5" customHeight="1" x14ac:dyDescent="0.25">
      <c r="B776" s="21" t="s">
        <v>61</v>
      </c>
      <c r="C776" s="22"/>
      <c r="D776" s="23">
        <f t="shared" si="53"/>
        <v>4250</v>
      </c>
      <c r="E776" s="59">
        <f t="shared" si="54"/>
        <v>5100</v>
      </c>
      <c r="F776" s="15">
        <f t="shared" si="56"/>
        <v>4950</v>
      </c>
      <c r="G776" s="59">
        <f t="shared" si="55"/>
        <v>5940</v>
      </c>
      <c r="H776" s="26"/>
      <c r="I776" s="49"/>
      <c r="J776" s="26"/>
      <c r="K776" s="49"/>
      <c r="L776" s="80"/>
      <c r="M776" s="20"/>
      <c r="N776" s="80"/>
      <c r="O776" s="20"/>
      <c r="P776" s="80"/>
      <c r="Q776" s="20"/>
      <c r="R776" s="80"/>
      <c r="S776" s="20"/>
      <c r="U776" s="286">
        <v>5100</v>
      </c>
      <c r="V776" s="286">
        <v>5940</v>
      </c>
      <c r="W776" s="286"/>
      <c r="X776" s="286"/>
      <c r="Y776" s="286"/>
      <c r="Z776" s="286"/>
      <c r="AA776" s="286"/>
      <c r="AB776" s="286"/>
    </row>
    <row r="777" spans="2:28" ht="12.75" customHeight="1" x14ac:dyDescent="0.25">
      <c r="C777" s="24"/>
      <c r="D777" s="24"/>
      <c r="E777" s="46"/>
      <c r="F777" s="24"/>
      <c r="G777" s="46"/>
      <c r="H777" s="5"/>
    </row>
    <row r="778" spans="2:28" x14ac:dyDescent="0.25">
      <c r="B778" s="155" t="str">
        <f>IF($C$1="ENG","For additonal charge:","Послуги за додаткову плату:")</f>
        <v>Послуги за додаткову плату:</v>
      </c>
      <c r="C778" s="156"/>
      <c r="D778" s="156"/>
      <c r="E778" s="157"/>
      <c r="F778" s="24"/>
      <c r="G778" s="46"/>
      <c r="H778" s="10"/>
      <c r="I778" s="8"/>
      <c r="J778" s="8"/>
      <c r="K778" s="8"/>
    </row>
    <row r="779" spans="2:28" ht="5.0999999999999996" customHeight="1" x14ac:dyDescent="0.25">
      <c r="B779" s="25"/>
      <c r="C779" s="24"/>
      <c r="D779" s="24"/>
      <c r="E779" s="46"/>
      <c r="F779" s="24"/>
      <c r="G779" s="24"/>
      <c r="H779" s="10"/>
      <c r="I779" s="8"/>
      <c r="J779" s="8"/>
      <c r="K779" s="8"/>
    </row>
    <row r="780" spans="2:28" x14ac:dyDescent="0.25">
      <c r="B780" s="317" t="str">
        <f>IF($C$1="ENG","door leaf with width 100","полотно розміром 100")</f>
        <v>полотно розміром 100</v>
      </c>
      <c r="C780" s="318"/>
      <c r="D780" s="100">
        <f t="shared" ref="D780:D782" si="57">IF(U780="","",(1-$S$2)*(U780/1.2))</f>
        <v>708.33333333333337</v>
      </c>
      <c r="E780" s="73">
        <f>IF($S$5=0.2,D780*1.2,D780)/$S$4</f>
        <v>850</v>
      </c>
      <c r="F780" s="24"/>
      <c r="G780" s="24"/>
      <c r="H780" s="10"/>
      <c r="I780" s="8"/>
      <c r="J780" s="8"/>
      <c r="K780" s="8"/>
      <c r="U780" s="286">
        <v>850</v>
      </c>
      <c r="V780" s="286"/>
      <c r="W780" s="286"/>
      <c r="X780" s="286"/>
      <c r="Y780" s="286"/>
      <c r="Z780" s="286"/>
      <c r="AA780" s="286"/>
      <c r="AB780" s="286"/>
    </row>
    <row r="781" spans="2:28" x14ac:dyDescent="0.25">
      <c r="B781" s="319" t="str">
        <f>IF($C$1="ENG","Ventilation sleeves (1 row)","вентиляційні віддушини (1 ряд)")</f>
        <v>вентиляційні віддушини (1 ряд)</v>
      </c>
      <c r="C781" s="320"/>
      <c r="D781" s="101">
        <f t="shared" si="57"/>
        <v>241.66666666666669</v>
      </c>
      <c r="E781" s="74">
        <f>IF($S$5=0.2,D781*1.2,D781)/$S$4</f>
        <v>290</v>
      </c>
      <c r="F781" s="24"/>
      <c r="G781" s="24"/>
      <c r="I781" s="11"/>
      <c r="J781" s="11"/>
      <c r="K781" s="11"/>
      <c r="U781" s="286">
        <v>290</v>
      </c>
      <c r="V781" s="286"/>
      <c r="W781" s="286"/>
      <c r="X781" s="286"/>
      <c r="Y781" s="286"/>
      <c r="Z781" s="286"/>
      <c r="AA781" s="286"/>
      <c r="AB781" s="286"/>
    </row>
    <row r="782" spans="2:28" x14ac:dyDescent="0.25">
      <c r="B782" s="319" t="str">
        <f>IF($C$1="ENG","Ventilation undercut","вентиляційний підріз")</f>
        <v>вентиляційний підріз</v>
      </c>
      <c r="C782" s="320"/>
      <c r="D782" s="79">
        <f t="shared" si="57"/>
        <v>162.5</v>
      </c>
      <c r="E782" s="74">
        <f>IF($S$5=0.2,D782*1.2,D782)/$S$4</f>
        <v>195</v>
      </c>
      <c r="F782" s="24"/>
      <c r="G782" s="24"/>
      <c r="H782" s="5"/>
      <c r="U782" s="286">
        <v>195</v>
      </c>
      <c r="V782" s="286"/>
      <c r="W782" s="286"/>
      <c r="X782" s="286"/>
      <c r="Y782" s="286"/>
      <c r="Z782" s="286"/>
      <c r="AA782" s="286"/>
      <c r="AB782" s="286"/>
    </row>
    <row r="783" spans="2:28" x14ac:dyDescent="0.25">
      <c r="B783" s="319" t="str">
        <f>IF($C$1="ENG","door handle-lock (for sliding doors)","ручка-замок (для дверей купе)")</f>
        <v>ручка-замок (для дверей купе)</v>
      </c>
      <c r="C783" s="320"/>
      <c r="D783" s="101">
        <f>IF(U783="","",(1-$S$2)*(U783/1.2))</f>
        <v>533.33333333333337</v>
      </c>
      <c r="E783" s="74">
        <f>IF($S$5=0.2,D783*1.2,D783)/$S$4</f>
        <v>640</v>
      </c>
      <c r="F783" s="24"/>
      <c r="G783" s="24"/>
      <c r="I783" s="11"/>
      <c r="J783" s="11"/>
      <c r="K783" s="19"/>
      <c r="U783" s="286">
        <v>640</v>
      </c>
      <c r="V783" s="286"/>
      <c r="W783" s="286"/>
      <c r="X783" s="286"/>
      <c r="Y783" s="286"/>
      <c r="Z783" s="286"/>
      <c r="AA783" s="286"/>
      <c r="AB783" s="286"/>
    </row>
    <row r="784" spans="2:28" x14ac:dyDescent="0.25">
      <c r="B784" s="319" t="str">
        <f>IF($C$1="ENG","door hinge caps (1 set)","накладка на завіси (1 к-т)")</f>
        <v>накладка на завіси (1 к-т)</v>
      </c>
      <c r="C784" s="320"/>
      <c r="D784" s="103">
        <f>IF(U784="","",(1-$S$2)*(U784/1.2))</f>
        <v>75</v>
      </c>
      <c r="E784" s="74">
        <f>IF($S$5=0.2,D784*1.2,D784)/$S$4</f>
        <v>90</v>
      </c>
      <c r="F784" s="24"/>
      <c r="G784" s="24"/>
      <c r="U784" s="286">
        <v>90</v>
      </c>
      <c r="V784" s="286"/>
      <c r="W784" s="286"/>
      <c r="X784" s="286"/>
      <c r="Y784" s="286"/>
      <c r="Z784" s="286"/>
      <c r="AA784" s="286"/>
      <c r="AB784" s="286"/>
    </row>
    <row r="785" spans="2:28" x14ac:dyDescent="0.25">
      <c r="B785" s="319" t="str">
        <f>IF($C$1="ENG","door handle","дверна ручка")</f>
        <v>дверна ручка</v>
      </c>
      <c r="C785" s="320"/>
      <c r="D785" s="102" t="str">
        <f>IF(U785="","",(1-$S$2)*(U785/1.2))</f>
        <v/>
      </c>
      <c r="E785" s="180" t="str">
        <f>IF($C$1="ENG","see Handles Price","див.Таблицю Ручки")</f>
        <v>див.Таблицю Ручки</v>
      </c>
      <c r="F785" s="24"/>
      <c r="G785" s="24"/>
      <c r="U785" s="286"/>
      <c r="V785" s="286"/>
      <c r="W785" s="286"/>
      <c r="X785" s="286"/>
      <c r="Y785" s="286"/>
      <c r="Z785" s="286"/>
      <c r="AA785" s="286"/>
      <c r="AB785" s="286"/>
    </row>
    <row r="786" spans="2:28" ht="14.25" customHeight="1" x14ac:dyDescent="0.25">
      <c r="C786" s="24"/>
      <c r="D786" s="24"/>
      <c r="E786" s="24"/>
      <c r="F786" s="24"/>
      <c r="G786" s="24"/>
      <c r="H786" s="5"/>
      <c r="P786" s="333" t="str">
        <f>IF($C$1="ENG",CONCATENATE("down to: ",B836),CONCATENATE("вниз до: ",B836))</f>
        <v>вниз до: Розсувна система ECO-SLIDE</v>
      </c>
      <c r="Q786" s="333"/>
      <c r="R786" s="333"/>
      <c r="S786" s="333"/>
    </row>
    <row r="787" spans="2:28" ht="14.25" customHeight="1" x14ac:dyDescent="0.25">
      <c r="C787" s="24"/>
      <c r="D787" s="24"/>
      <c r="E787" s="24"/>
      <c r="F787" s="24"/>
      <c r="G787" s="24"/>
      <c r="H787" s="5"/>
    </row>
    <row r="788" spans="2:28" ht="14.25" customHeight="1" x14ac:dyDescent="0.25">
      <c r="C788" s="24"/>
      <c r="D788" s="24"/>
      <c r="E788" s="24"/>
      <c r="F788" s="24"/>
      <c r="G788" s="24"/>
      <c r="H788" s="5"/>
    </row>
    <row r="789" spans="2:28" ht="14.25" customHeight="1" x14ac:dyDescent="0.25">
      <c r="C789" s="24"/>
      <c r="D789" s="24"/>
      <c r="E789" s="24"/>
      <c r="F789" s="24"/>
      <c r="G789" s="24"/>
      <c r="H789" s="5"/>
    </row>
    <row r="790" spans="2:28" ht="14.25" customHeight="1" x14ac:dyDescent="0.25">
      <c r="C790" s="24"/>
      <c r="D790" s="24"/>
      <c r="E790" s="24"/>
      <c r="F790" s="24"/>
      <c r="G790" s="24"/>
      <c r="H790" s="5"/>
    </row>
    <row r="791" spans="2:28" ht="14.25" customHeight="1" x14ac:dyDescent="0.25">
      <c r="C791" s="24"/>
      <c r="D791" s="24"/>
      <c r="E791" s="24"/>
      <c r="F791" s="24"/>
      <c r="G791" s="24"/>
      <c r="H791" s="5"/>
    </row>
    <row r="792" spans="2:28" ht="14.25" customHeight="1" x14ac:dyDescent="0.25">
      <c r="C792" s="24"/>
      <c r="D792" s="24"/>
      <c r="E792" s="24"/>
      <c r="F792" s="24"/>
      <c r="G792" s="24"/>
      <c r="H792" s="5"/>
    </row>
    <row r="793" spans="2:28" ht="14.25" customHeight="1" x14ac:dyDescent="0.25">
      <c r="C793" s="24"/>
      <c r="D793" s="24"/>
      <c r="E793" s="24"/>
      <c r="F793" s="24"/>
      <c r="G793" s="24"/>
      <c r="H793" s="5"/>
    </row>
    <row r="794" spans="2:28" ht="14.25" customHeight="1" x14ac:dyDescent="0.25">
      <c r="C794" s="24"/>
      <c r="D794" s="24"/>
      <c r="E794" s="24"/>
      <c r="F794" s="24"/>
      <c r="G794" s="24"/>
      <c r="H794" s="5"/>
    </row>
    <row r="795" spans="2:28" ht="14.25" customHeight="1" x14ac:dyDescent="0.25">
      <c r="C795" s="24"/>
      <c r="D795" s="24"/>
      <c r="E795" s="24"/>
      <c r="F795" s="24"/>
      <c r="G795" s="24"/>
      <c r="H795" s="5"/>
    </row>
    <row r="796" spans="2:28" ht="14.25" customHeight="1" x14ac:dyDescent="0.25">
      <c r="C796" s="24"/>
      <c r="D796" s="24"/>
      <c r="E796" s="24"/>
      <c r="F796" s="24"/>
      <c r="G796" s="24"/>
      <c r="H796" s="5"/>
    </row>
    <row r="797" spans="2:28" ht="14.25" customHeight="1" x14ac:dyDescent="0.25">
      <c r="C797" s="24"/>
      <c r="D797" s="24"/>
      <c r="E797" s="24"/>
      <c r="F797" s="24"/>
      <c r="G797" s="24"/>
      <c r="H797" s="5"/>
    </row>
    <row r="798" spans="2:28" ht="14.25" customHeight="1" x14ac:dyDescent="0.25">
      <c r="C798" s="24"/>
      <c r="D798" s="24"/>
      <c r="E798" s="24"/>
      <c r="F798" s="24"/>
      <c r="G798" s="24"/>
      <c r="H798" s="5"/>
    </row>
    <row r="799" spans="2:28" ht="14.25" customHeight="1" x14ac:dyDescent="0.25">
      <c r="C799" s="24"/>
      <c r="D799" s="24"/>
      <c r="E799" s="24"/>
      <c r="F799" s="24"/>
      <c r="G799" s="24"/>
      <c r="H799" s="5"/>
    </row>
    <row r="800" spans="2:28" ht="14.25" customHeight="1" x14ac:dyDescent="0.25">
      <c r="C800" s="24"/>
      <c r="D800" s="24"/>
      <c r="E800" s="24"/>
      <c r="F800" s="24"/>
      <c r="G800" s="24"/>
      <c r="H800" s="5"/>
    </row>
    <row r="801" spans="3:8" ht="14.25" customHeight="1" x14ac:dyDescent="0.25">
      <c r="C801" s="24"/>
      <c r="D801" s="24"/>
      <c r="E801" s="24"/>
      <c r="F801" s="24"/>
      <c r="G801" s="24"/>
      <c r="H801" s="5"/>
    </row>
    <row r="802" spans="3:8" ht="14.25" customHeight="1" x14ac:dyDescent="0.25">
      <c r="C802" s="24"/>
      <c r="D802" s="24"/>
      <c r="E802" s="24"/>
      <c r="F802" s="24"/>
      <c r="G802" s="24"/>
      <c r="H802" s="5"/>
    </row>
    <row r="803" spans="3:8" ht="14.25" customHeight="1" x14ac:dyDescent="0.25">
      <c r="C803" s="24"/>
      <c r="D803" s="24"/>
      <c r="E803" s="24"/>
      <c r="F803" s="24"/>
      <c r="G803" s="24"/>
      <c r="H803" s="5"/>
    </row>
    <row r="804" spans="3:8" ht="14.25" customHeight="1" x14ac:dyDescent="0.25">
      <c r="C804" s="24"/>
      <c r="D804" s="24"/>
      <c r="E804" s="24"/>
      <c r="F804" s="24"/>
      <c r="G804" s="24"/>
      <c r="H804" s="5"/>
    </row>
    <row r="805" spans="3:8" ht="14.25" customHeight="1" x14ac:dyDescent="0.25">
      <c r="C805" s="24"/>
      <c r="D805" s="24"/>
      <c r="E805" s="24"/>
      <c r="F805" s="24"/>
      <c r="G805" s="24"/>
      <c r="H805" s="5"/>
    </row>
    <row r="806" spans="3:8" ht="14.25" customHeight="1" x14ac:dyDescent="0.25">
      <c r="C806" s="24"/>
      <c r="D806" s="24"/>
      <c r="E806" s="24"/>
      <c r="F806" s="24"/>
      <c r="G806" s="24"/>
      <c r="H806" s="5"/>
    </row>
    <row r="807" spans="3:8" ht="14.25" customHeight="1" x14ac:dyDescent="0.25">
      <c r="C807" s="24"/>
      <c r="D807" s="24"/>
      <c r="E807" s="24"/>
      <c r="F807" s="24"/>
      <c r="G807" s="24"/>
      <c r="H807" s="5"/>
    </row>
    <row r="808" spans="3:8" ht="14.25" customHeight="1" x14ac:dyDescent="0.25">
      <c r="C808" s="24"/>
      <c r="D808" s="24"/>
      <c r="E808" s="24"/>
      <c r="F808" s="24"/>
      <c r="G808" s="24"/>
      <c r="H808" s="5"/>
    </row>
    <row r="809" spans="3:8" ht="14.25" customHeight="1" x14ac:dyDescent="0.25">
      <c r="C809" s="24"/>
      <c r="D809" s="24"/>
      <c r="E809" s="24"/>
      <c r="F809" s="24"/>
      <c r="G809" s="24"/>
      <c r="H809" s="5"/>
    </row>
    <row r="810" spans="3:8" ht="14.25" customHeight="1" x14ac:dyDescent="0.25">
      <c r="C810" s="24"/>
      <c r="D810" s="24"/>
      <c r="E810" s="24"/>
      <c r="F810" s="24"/>
      <c r="G810" s="24"/>
      <c r="H810" s="5"/>
    </row>
    <row r="811" spans="3:8" ht="14.25" customHeight="1" x14ac:dyDescent="0.25">
      <c r="C811" s="24"/>
      <c r="D811" s="24"/>
      <c r="E811" s="24"/>
      <c r="F811" s="24"/>
      <c r="G811" s="24"/>
      <c r="H811" s="5"/>
    </row>
    <row r="812" spans="3:8" ht="14.25" customHeight="1" x14ac:dyDescent="0.25">
      <c r="C812" s="24"/>
      <c r="D812" s="24"/>
      <c r="E812" s="24"/>
      <c r="F812" s="24"/>
      <c r="G812" s="24"/>
      <c r="H812" s="5"/>
    </row>
    <row r="813" spans="3:8" ht="14.25" customHeight="1" x14ac:dyDescent="0.25">
      <c r="C813" s="24"/>
      <c r="D813" s="24"/>
      <c r="E813" s="24"/>
      <c r="F813" s="24"/>
      <c r="G813" s="24"/>
      <c r="H813" s="5"/>
    </row>
    <row r="814" spans="3:8" ht="14.25" customHeight="1" x14ac:dyDescent="0.25">
      <c r="C814" s="24"/>
      <c r="D814" s="24"/>
      <c r="E814" s="24"/>
      <c r="F814" s="24"/>
      <c r="G814" s="24"/>
      <c r="H814" s="5"/>
    </row>
    <row r="815" spans="3:8" ht="14.25" customHeight="1" x14ac:dyDescent="0.25">
      <c r="C815" s="24"/>
      <c r="D815" s="24"/>
      <c r="E815" s="24"/>
      <c r="F815" s="24"/>
      <c r="G815" s="24"/>
      <c r="H815" s="5"/>
    </row>
    <row r="816" spans="3:8" ht="14.25" customHeight="1" x14ac:dyDescent="0.25">
      <c r="C816" s="24"/>
      <c r="D816" s="24"/>
      <c r="E816" s="24"/>
      <c r="F816" s="24"/>
      <c r="G816" s="24"/>
      <c r="H816" s="5"/>
    </row>
    <row r="817" spans="3:8" ht="14.25" customHeight="1" x14ac:dyDescent="0.25">
      <c r="C817" s="24"/>
      <c r="D817" s="24"/>
      <c r="E817" s="24"/>
      <c r="F817" s="24"/>
      <c r="G817" s="24"/>
      <c r="H817" s="5"/>
    </row>
    <row r="818" spans="3:8" ht="14.25" customHeight="1" x14ac:dyDescent="0.25">
      <c r="C818" s="24"/>
      <c r="D818" s="24"/>
      <c r="E818" s="24"/>
      <c r="F818" s="24"/>
      <c r="G818" s="24"/>
      <c r="H818" s="5"/>
    </row>
    <row r="819" spans="3:8" ht="14.25" customHeight="1" x14ac:dyDescent="0.25">
      <c r="C819" s="24"/>
      <c r="D819" s="24"/>
      <c r="E819" s="24"/>
      <c r="F819" s="24"/>
      <c r="G819" s="24"/>
      <c r="H819" s="5"/>
    </row>
    <row r="820" spans="3:8" ht="14.25" customHeight="1" x14ac:dyDescent="0.25">
      <c r="C820" s="24"/>
      <c r="D820" s="24"/>
      <c r="E820" s="24"/>
      <c r="F820" s="24"/>
      <c r="G820" s="24"/>
      <c r="H820" s="5"/>
    </row>
    <row r="821" spans="3:8" ht="14.25" customHeight="1" x14ac:dyDescent="0.25">
      <c r="C821" s="24"/>
      <c r="D821" s="24"/>
      <c r="E821" s="24"/>
      <c r="F821" s="24"/>
      <c r="G821" s="24"/>
      <c r="H821" s="5"/>
    </row>
    <row r="822" spans="3:8" ht="14.25" customHeight="1" x14ac:dyDescent="0.25">
      <c r="C822" s="24"/>
      <c r="D822" s="24"/>
      <c r="E822" s="24"/>
      <c r="F822" s="24"/>
      <c r="G822" s="24"/>
      <c r="H822" s="5"/>
    </row>
    <row r="823" spans="3:8" ht="14.25" customHeight="1" x14ac:dyDescent="0.25">
      <c r="C823" s="24"/>
      <c r="D823" s="24"/>
      <c r="E823" s="24"/>
      <c r="F823" s="24"/>
      <c r="G823" s="24"/>
      <c r="H823" s="5"/>
    </row>
    <row r="824" spans="3:8" ht="14.25" customHeight="1" x14ac:dyDescent="0.25">
      <c r="C824" s="24"/>
      <c r="D824" s="24"/>
      <c r="E824" s="24"/>
      <c r="F824" s="24"/>
      <c r="G824" s="24"/>
      <c r="H824" s="5"/>
    </row>
    <row r="825" spans="3:8" ht="14.25" customHeight="1" x14ac:dyDescent="0.25">
      <c r="C825" s="24"/>
      <c r="D825" s="24"/>
      <c r="E825" s="24"/>
      <c r="F825" s="24"/>
      <c r="G825" s="24"/>
      <c r="H825" s="5"/>
    </row>
    <row r="826" spans="3:8" ht="14.25" customHeight="1" x14ac:dyDescent="0.25">
      <c r="C826" s="24"/>
      <c r="D826" s="24"/>
      <c r="E826" s="24"/>
      <c r="F826" s="24"/>
      <c r="G826" s="24"/>
      <c r="H826" s="5"/>
    </row>
    <row r="827" spans="3:8" ht="14.25" customHeight="1" x14ac:dyDescent="0.25">
      <c r="C827" s="24"/>
      <c r="D827" s="24"/>
      <c r="E827" s="24"/>
      <c r="F827" s="24"/>
      <c r="G827" s="24"/>
      <c r="H827" s="5"/>
    </row>
    <row r="828" spans="3:8" ht="14.25" customHeight="1" x14ac:dyDescent="0.25">
      <c r="C828" s="24"/>
      <c r="D828" s="24"/>
      <c r="E828" s="24"/>
      <c r="F828" s="24"/>
      <c r="G828" s="24"/>
      <c r="H828" s="5"/>
    </row>
    <row r="829" spans="3:8" ht="14.25" customHeight="1" x14ac:dyDescent="0.25">
      <c r="C829" s="24"/>
      <c r="D829" s="24"/>
      <c r="E829" s="24"/>
      <c r="F829" s="24"/>
      <c r="G829" s="24"/>
      <c r="H829" s="5"/>
    </row>
    <row r="830" spans="3:8" ht="14.25" customHeight="1" x14ac:dyDescent="0.25">
      <c r="C830" s="24"/>
      <c r="D830" s="24"/>
      <c r="E830" s="24"/>
      <c r="F830" s="24"/>
      <c r="G830" s="24"/>
      <c r="H830" s="5"/>
    </row>
    <row r="831" spans="3:8" ht="14.25" customHeight="1" x14ac:dyDescent="0.25">
      <c r="C831" s="24"/>
      <c r="D831" s="24"/>
      <c r="E831" s="24"/>
      <c r="F831" s="24"/>
      <c r="G831" s="24"/>
      <c r="H831" s="5"/>
    </row>
    <row r="832" spans="3:8" ht="14.25" customHeight="1" x14ac:dyDescent="0.25">
      <c r="C832" s="24"/>
      <c r="D832" s="24"/>
      <c r="E832" s="24"/>
      <c r="F832" s="24"/>
      <c r="G832" s="24"/>
      <c r="H832" s="5"/>
    </row>
    <row r="833" spans="1:28" ht="14.25" customHeight="1" x14ac:dyDescent="0.25">
      <c r="C833" s="24"/>
      <c r="D833" s="24"/>
      <c r="E833" s="24"/>
      <c r="F833" s="24"/>
      <c r="G833" s="24"/>
      <c r="H833" s="5"/>
    </row>
    <row r="834" spans="1:28" ht="14.25" customHeight="1" x14ac:dyDescent="0.25">
      <c r="C834" s="24"/>
      <c r="D834" s="24"/>
      <c r="E834" s="24"/>
      <c r="F834" s="24"/>
      <c r="G834" s="24"/>
      <c r="H834" s="5"/>
    </row>
    <row r="835" spans="1:28" ht="14.25" customHeight="1" x14ac:dyDescent="0.25">
      <c r="C835" s="24"/>
      <c r="D835" s="24"/>
      <c r="E835" s="24"/>
      <c r="F835" s="24"/>
      <c r="G835" s="24"/>
      <c r="H835" s="5"/>
    </row>
    <row r="836" spans="1:28" s="8" customFormat="1" x14ac:dyDescent="0.25">
      <c r="B836" s="343" t="str">
        <f>TITLE!$C$22</f>
        <v>Розсувна система ECO-SLIDE</v>
      </c>
      <c r="C836" s="321"/>
      <c r="D836" s="93"/>
      <c r="E836" s="93"/>
      <c r="F836" s="93"/>
      <c r="G836" s="93"/>
      <c r="H836" s="322"/>
      <c r="I836" s="322"/>
      <c r="J836" s="94"/>
      <c r="K836" s="94"/>
      <c r="L836" s="94"/>
      <c r="M836" s="94"/>
      <c r="N836" s="94"/>
      <c r="O836" s="94"/>
      <c r="P836" s="323" t="str">
        <f>IF($C$1="ENG",CONCATENATE("up to: ",B765),CONCATENATE("вгору до: ",B765))</f>
        <v>вгору до: Полотна збірні: ECO-VIENTO</v>
      </c>
      <c r="Q836" s="323"/>
      <c r="R836" s="323"/>
      <c r="S836" s="323"/>
    </row>
    <row r="837" spans="1:28" s="8" customFormat="1" ht="5.0999999999999996" customHeight="1" x14ac:dyDescent="0.25">
      <c r="B837" s="107"/>
      <c r="C837" s="92"/>
      <c r="D837" s="9"/>
      <c r="E837" s="9"/>
      <c r="F837" s="10"/>
      <c r="G837" s="10"/>
      <c r="H837" s="109"/>
      <c r="I837" s="109"/>
      <c r="O837" s="88"/>
      <c r="P837" s="88"/>
      <c r="Q837" s="88"/>
      <c r="R837" s="88"/>
      <c r="S837" s="88"/>
    </row>
    <row r="838" spans="1:28" ht="12.75" customHeight="1" x14ac:dyDescent="0.25">
      <c r="A838" s="8"/>
      <c r="B838" s="324" t="str">
        <f>IF($C$1="ENG","(without door)","(без полотна)")</f>
        <v>(без полотна)</v>
      </c>
      <c r="C838" s="95" t="str">
        <f>IF($C$1="ENG","cover:","покриття:")</f>
        <v>покриття:</v>
      </c>
      <c r="D838" s="327" t="str">
        <f>IF($C$1="ENG","ECO-CELL","ECO-CELL")</f>
        <v>ECO-CELL</v>
      </c>
      <c r="E838" s="328"/>
      <c r="F838" s="327" t="str">
        <f>IF($C$1="ENG","ECO-RESIST","ECO-RESIST")</f>
        <v>ECO-RESIST</v>
      </c>
      <c r="G838" s="328"/>
      <c r="H838" s="35"/>
      <c r="I838" s="35"/>
      <c r="J838" s="35"/>
      <c r="K838" s="35"/>
      <c r="L838" s="36"/>
      <c r="M838" s="36"/>
      <c r="N838" s="35"/>
      <c r="O838" s="35"/>
      <c r="P838" s="37"/>
    </row>
    <row r="839" spans="1:28" ht="12.75" customHeight="1" x14ac:dyDescent="0.25">
      <c r="A839" s="8"/>
      <c r="B839" s="326"/>
      <c r="C839" s="97" t="str">
        <f>IF($C$1="ENG","type:","виконання:")</f>
        <v>виконання:</v>
      </c>
      <c r="D839" s="331" t="str">
        <f>IF($C$1="ENG","single leaf","одностулкове")</f>
        <v>одностулкове</v>
      </c>
      <c r="E839" s="332"/>
      <c r="F839" s="331" t="str">
        <f>IF($C$1="ENG","single leaf","одностулкове")</f>
        <v>одностулкове</v>
      </c>
      <c r="G839" s="332"/>
      <c r="H839" s="36"/>
      <c r="I839" s="36"/>
      <c r="J839" s="36"/>
      <c r="K839" s="36"/>
      <c r="L839" s="36"/>
      <c r="M839" s="36"/>
      <c r="N839" s="35"/>
      <c r="O839" s="35"/>
      <c r="P839" s="37"/>
    </row>
    <row r="840" spans="1:28" ht="34.5" customHeight="1" x14ac:dyDescent="0.25">
      <c r="A840" s="8"/>
      <c r="B840" s="108" t="str">
        <f>IF($C$1="ENG","Sliding system","Розсувна система")</f>
        <v>Розсувна система</v>
      </c>
      <c r="C840" s="39"/>
      <c r="D840" s="40">
        <f>IF(U840="","",(1-$S$2)*(U840/1.2))</f>
        <v>3625</v>
      </c>
      <c r="E840" s="66">
        <f>IF($S$5=0.2,D840*1.2,D840)/$S$4</f>
        <v>4350</v>
      </c>
      <c r="F840" s="40">
        <f>IF(V840="","",(1-$S$2)*(V840/1.2))</f>
        <v>3862.5</v>
      </c>
      <c r="G840" s="66">
        <f>IF($S$5=0.2,F840*1.2,F840)/$S$4</f>
        <v>4635</v>
      </c>
      <c r="H840" s="26"/>
      <c r="I840" s="49"/>
      <c r="J840" s="26"/>
      <c r="K840" s="49"/>
      <c r="L840" s="26"/>
      <c r="M840" s="27"/>
      <c r="N840" s="26"/>
      <c r="O840" s="27"/>
      <c r="P840" s="41"/>
      <c r="Q840" s="27"/>
      <c r="S840" s="27"/>
      <c r="U840" s="286">
        <v>4350</v>
      </c>
      <c r="V840" s="286">
        <v>4635</v>
      </c>
      <c r="W840" s="286"/>
      <c r="X840" s="286"/>
      <c r="Y840" s="286"/>
      <c r="Z840" s="286"/>
      <c r="AA840" s="286"/>
      <c r="AB840" s="286"/>
    </row>
    <row r="841" spans="1:28" x14ac:dyDescent="0.25">
      <c r="C841" s="24"/>
      <c r="D841" s="24"/>
      <c r="E841" s="24"/>
      <c r="F841" s="24"/>
      <c r="G841" s="24"/>
      <c r="H841" s="5"/>
    </row>
    <row r="842" spans="1:28" x14ac:dyDescent="0.25">
      <c r="B842" s="155" t="str">
        <f>IF($C$1="ENG","For additonal charge:","Послуги за додаткову плату:")</f>
        <v>Послуги за додаткову плату:</v>
      </c>
      <c r="C842" s="156"/>
      <c r="D842" s="156"/>
      <c r="E842" s="157"/>
      <c r="F842" s="33"/>
      <c r="G842" s="33"/>
      <c r="H842" s="10"/>
      <c r="I842" s="8"/>
      <c r="J842" s="8"/>
      <c r="K842" s="8"/>
      <c r="L842" s="8"/>
    </row>
    <row r="843" spans="1:28" ht="5.0999999999999996" customHeight="1" x14ac:dyDescent="0.25">
      <c r="B843" s="25"/>
      <c r="C843" s="24"/>
      <c r="D843" s="24"/>
      <c r="E843" s="46"/>
      <c r="F843" s="24"/>
      <c r="G843" s="24"/>
      <c r="H843" s="10"/>
      <c r="I843" s="8"/>
      <c r="J843" s="8"/>
      <c r="K843" s="8"/>
    </row>
    <row r="844" spans="1:28" x14ac:dyDescent="0.25">
      <c r="B844" s="347" t="str">
        <f>IF($C$1="ENG","Door lock hatch","Відповідна планка замка")</f>
        <v>Відповідна планка замка</v>
      </c>
      <c r="C844" s="348"/>
      <c r="D844" s="40">
        <f>IF(U844="","",(1-$S$2)*(U844/1.2))</f>
        <v>104.16666666666667</v>
      </c>
      <c r="E844" s="66">
        <f>IF($S$5=0.2,D844*1.2,D844)/$S$4</f>
        <v>125</v>
      </c>
      <c r="F844" s="24"/>
      <c r="G844" s="24"/>
      <c r="H844" s="10"/>
      <c r="I844" s="65"/>
      <c r="J844" s="8"/>
      <c r="K844" s="8"/>
      <c r="U844" s="286">
        <v>125</v>
      </c>
      <c r="V844" s="286"/>
      <c r="W844" s="286"/>
      <c r="X844" s="286"/>
      <c r="Y844" s="286"/>
      <c r="Z844" s="286"/>
      <c r="AA844" s="286"/>
      <c r="AB844" s="286"/>
    </row>
    <row r="845" spans="1:28" ht="14.25" customHeight="1" x14ac:dyDescent="0.25">
      <c r="B845" s="75"/>
      <c r="C845" s="72"/>
      <c r="D845" s="76"/>
      <c r="E845" s="49"/>
      <c r="F845" s="24"/>
      <c r="G845" s="24"/>
      <c r="I845" s="11"/>
      <c r="J845" s="11"/>
      <c r="K845" s="19"/>
      <c r="P845" s="333" t="str">
        <f>IF($C$1="ENG",CONCATENATE("down to: ",B895),CONCATENATE("вниз до: ",B895))</f>
        <v>вниз до: Дверна коробка CLASSIC</v>
      </c>
      <c r="Q845" s="333"/>
      <c r="R845" s="333"/>
      <c r="S845" s="333"/>
    </row>
    <row r="846" spans="1:28" ht="14.25" customHeight="1" x14ac:dyDescent="0.25">
      <c r="C846" s="24"/>
      <c r="D846" s="24"/>
      <c r="E846" s="24"/>
      <c r="F846" s="24"/>
      <c r="G846" s="24"/>
      <c r="H846" s="5"/>
      <c r="I846" s="24"/>
    </row>
    <row r="847" spans="1:28" ht="14.25" customHeight="1" x14ac:dyDescent="0.25">
      <c r="C847" s="24"/>
      <c r="D847" s="24"/>
      <c r="E847" s="24"/>
      <c r="F847" s="24"/>
      <c r="G847" s="46"/>
      <c r="H847" s="5"/>
      <c r="I847" s="24"/>
    </row>
    <row r="848" spans="1:28" ht="14.25" customHeight="1" x14ac:dyDescent="0.25">
      <c r="C848" s="24"/>
      <c r="D848" s="24"/>
      <c r="E848" s="24"/>
      <c r="F848" s="24"/>
      <c r="G848" s="24"/>
      <c r="H848" s="5"/>
      <c r="I848" s="24"/>
    </row>
    <row r="849" spans="3:9" ht="14.25" customHeight="1" x14ac:dyDescent="0.25">
      <c r="C849" s="24"/>
      <c r="D849" s="24"/>
      <c r="E849" s="24"/>
      <c r="F849" s="24"/>
      <c r="G849" s="24"/>
      <c r="H849" s="5"/>
      <c r="I849" s="46"/>
    </row>
    <row r="850" spans="3:9" ht="14.25" customHeight="1" x14ac:dyDescent="0.25">
      <c r="C850" s="24"/>
      <c r="D850" s="24"/>
      <c r="E850" s="24"/>
      <c r="F850" s="24"/>
      <c r="G850" s="24"/>
      <c r="H850" s="5"/>
      <c r="I850" s="24"/>
    </row>
    <row r="851" spans="3:9" ht="14.25" customHeight="1" x14ac:dyDescent="0.25">
      <c r="C851" s="24"/>
      <c r="D851" s="24"/>
      <c r="E851" s="24"/>
      <c r="F851" s="24"/>
      <c r="G851" s="24"/>
      <c r="H851" s="5"/>
      <c r="I851" s="24"/>
    </row>
    <row r="852" spans="3:9" ht="14.25" customHeight="1" x14ac:dyDescent="0.25">
      <c r="C852" s="24"/>
      <c r="D852" s="24"/>
      <c r="E852" s="24"/>
      <c r="F852" s="24"/>
      <c r="G852" s="24"/>
      <c r="H852" s="5"/>
      <c r="I852" s="24"/>
    </row>
    <row r="853" spans="3:9" ht="14.25" customHeight="1" x14ac:dyDescent="0.25">
      <c r="C853" s="24"/>
      <c r="D853" s="24"/>
      <c r="E853" s="24"/>
      <c r="F853" s="24"/>
      <c r="G853" s="24"/>
      <c r="H853" s="5"/>
      <c r="I853" s="24"/>
    </row>
    <row r="854" spans="3:9" ht="14.25" customHeight="1" x14ac:dyDescent="0.25">
      <c r="C854" s="24"/>
      <c r="D854" s="24"/>
      <c r="E854" s="24"/>
      <c r="F854" s="24"/>
      <c r="G854" s="24"/>
      <c r="H854" s="5"/>
      <c r="I854" s="24"/>
    </row>
    <row r="855" spans="3:9" ht="14.25" customHeight="1" x14ac:dyDescent="0.25">
      <c r="C855" s="24"/>
      <c r="D855" s="24"/>
      <c r="E855" s="24"/>
      <c r="F855" s="24"/>
      <c r="G855" s="24"/>
      <c r="H855" s="5"/>
      <c r="I855" s="24"/>
    </row>
    <row r="856" spans="3:9" ht="14.25" customHeight="1" x14ac:dyDescent="0.25">
      <c r="C856" s="24"/>
      <c r="D856" s="24"/>
      <c r="E856" s="24"/>
      <c r="F856" s="24"/>
      <c r="G856" s="24"/>
      <c r="H856" s="5"/>
      <c r="I856" s="24"/>
    </row>
    <row r="857" spans="3:9" ht="14.25" customHeight="1" x14ac:dyDescent="0.25">
      <c r="C857" s="24"/>
      <c r="D857" s="24"/>
      <c r="E857" s="24"/>
      <c r="F857" s="24"/>
      <c r="G857" s="24"/>
      <c r="H857" s="5"/>
      <c r="I857" s="24"/>
    </row>
    <row r="858" spans="3:9" ht="14.25" customHeight="1" x14ac:dyDescent="0.25">
      <c r="C858" s="24"/>
      <c r="D858" s="24"/>
      <c r="E858" s="24"/>
      <c r="F858" s="24"/>
      <c r="G858" s="24"/>
      <c r="H858" s="5"/>
      <c r="I858" s="24"/>
    </row>
    <row r="859" spans="3:9" ht="14.25" customHeight="1" x14ac:dyDescent="0.25">
      <c r="C859" s="24"/>
      <c r="D859" s="24"/>
      <c r="E859" s="24"/>
      <c r="F859" s="24"/>
      <c r="G859" s="24"/>
      <c r="H859" s="5"/>
      <c r="I859" s="24"/>
    </row>
    <row r="860" spans="3:9" ht="14.25" customHeight="1" x14ac:dyDescent="0.25">
      <c r="C860" s="24"/>
      <c r="D860" s="24"/>
      <c r="E860" s="24"/>
      <c r="F860" s="24"/>
      <c r="G860" s="24"/>
      <c r="H860" s="5"/>
      <c r="I860" s="24"/>
    </row>
    <row r="861" spans="3:9" ht="14.25" customHeight="1" x14ac:dyDescent="0.25">
      <c r="C861" s="24"/>
      <c r="D861" s="24"/>
      <c r="E861" s="24"/>
      <c r="F861" s="24"/>
      <c r="G861" s="24"/>
      <c r="H861" s="5"/>
      <c r="I861" s="24"/>
    </row>
    <row r="862" spans="3:9" ht="14.25" customHeight="1" x14ac:dyDescent="0.25">
      <c r="C862" s="24"/>
      <c r="D862" s="24"/>
      <c r="E862" s="24"/>
      <c r="F862" s="24"/>
      <c r="G862" s="24"/>
      <c r="H862" s="5"/>
      <c r="I862" s="24"/>
    </row>
    <row r="863" spans="3:9" ht="14.25" customHeight="1" x14ac:dyDescent="0.25">
      <c r="C863" s="24"/>
      <c r="D863" s="24"/>
      <c r="E863" s="24"/>
      <c r="F863" s="24"/>
      <c r="G863" s="24"/>
      <c r="H863" s="5"/>
      <c r="I863" s="24"/>
    </row>
    <row r="864" spans="3:9" ht="14.25" customHeight="1" x14ac:dyDescent="0.25">
      <c r="C864" s="24"/>
      <c r="D864" s="24"/>
      <c r="E864" s="24"/>
      <c r="F864" s="24"/>
      <c r="G864" s="24"/>
      <c r="H864" s="5"/>
      <c r="I864" s="24"/>
    </row>
    <row r="865" spans="3:9" ht="14.25" customHeight="1" x14ac:dyDescent="0.25">
      <c r="C865" s="24"/>
      <c r="D865" s="24"/>
      <c r="E865" s="24"/>
      <c r="F865" s="24"/>
      <c r="G865" s="24"/>
      <c r="H865" s="5"/>
      <c r="I865" s="24"/>
    </row>
    <row r="866" spans="3:9" ht="14.25" customHeight="1" x14ac:dyDescent="0.25">
      <c r="C866" s="24"/>
      <c r="D866" s="24"/>
      <c r="E866" s="24"/>
      <c r="F866" s="24"/>
      <c r="G866" s="24"/>
      <c r="H866" s="5"/>
      <c r="I866" s="24"/>
    </row>
    <row r="867" spans="3:9" ht="14.25" customHeight="1" x14ac:dyDescent="0.25">
      <c r="C867" s="24"/>
      <c r="D867" s="24"/>
      <c r="E867" s="24"/>
      <c r="F867" s="24"/>
      <c r="G867" s="24"/>
      <c r="H867" s="5"/>
      <c r="I867" s="24"/>
    </row>
    <row r="868" spans="3:9" ht="14.25" customHeight="1" x14ac:dyDescent="0.25">
      <c r="C868" s="24"/>
      <c r="D868" s="24"/>
      <c r="E868" s="24"/>
      <c r="F868" s="24"/>
      <c r="G868" s="24"/>
      <c r="H868" s="5"/>
      <c r="I868" s="24"/>
    </row>
    <row r="869" spans="3:9" ht="14.25" customHeight="1" x14ac:dyDescent="0.25">
      <c r="C869" s="24"/>
      <c r="D869" s="24"/>
      <c r="E869" s="24"/>
      <c r="F869" s="24"/>
      <c r="G869" s="24"/>
      <c r="H869" s="5"/>
      <c r="I869" s="24"/>
    </row>
    <row r="870" spans="3:9" ht="14.25" customHeight="1" x14ac:dyDescent="0.25">
      <c r="C870" s="24"/>
      <c r="D870" s="24"/>
      <c r="E870" s="24"/>
      <c r="F870" s="24"/>
      <c r="G870" s="24"/>
      <c r="H870" s="5"/>
      <c r="I870" s="24"/>
    </row>
    <row r="871" spans="3:9" ht="14.25" customHeight="1" x14ac:dyDescent="0.25">
      <c r="C871" s="24"/>
      <c r="D871" s="24"/>
      <c r="E871" s="24"/>
      <c r="F871" s="24"/>
      <c r="G871" s="24"/>
      <c r="H871" s="5"/>
      <c r="I871" s="24"/>
    </row>
    <row r="872" spans="3:9" ht="14.25" customHeight="1" x14ac:dyDescent="0.25">
      <c r="C872" s="24"/>
      <c r="D872" s="24"/>
      <c r="E872" s="24"/>
      <c r="F872" s="24"/>
      <c r="G872" s="24"/>
      <c r="H872" s="5"/>
      <c r="I872" s="24"/>
    </row>
    <row r="873" spans="3:9" ht="14.25" customHeight="1" x14ac:dyDescent="0.25">
      <c r="C873" s="24"/>
      <c r="D873" s="24"/>
      <c r="E873" s="24"/>
      <c r="F873" s="24"/>
      <c r="G873" s="24"/>
      <c r="H873" s="5"/>
      <c r="I873" s="24"/>
    </row>
    <row r="874" spans="3:9" ht="14.25" customHeight="1" x14ac:dyDescent="0.25">
      <c r="C874" s="24"/>
      <c r="D874" s="24"/>
      <c r="E874" s="24"/>
      <c r="F874" s="24"/>
      <c r="G874" s="24"/>
      <c r="H874" s="5"/>
      <c r="I874" s="24"/>
    </row>
    <row r="875" spans="3:9" ht="14.25" customHeight="1" x14ac:dyDescent="0.25">
      <c r="C875" s="24"/>
      <c r="D875" s="24"/>
      <c r="E875" s="24"/>
      <c r="F875" s="24"/>
      <c r="G875" s="24"/>
      <c r="H875" s="5"/>
      <c r="I875" s="24"/>
    </row>
    <row r="876" spans="3:9" ht="14.25" customHeight="1" x14ac:dyDescent="0.25">
      <c r="C876" s="24"/>
      <c r="D876" s="24"/>
      <c r="E876" s="24"/>
      <c r="F876" s="24"/>
      <c r="G876" s="24"/>
      <c r="H876" s="5"/>
      <c r="I876" s="24"/>
    </row>
    <row r="877" spans="3:9" ht="14.25" customHeight="1" x14ac:dyDescent="0.25">
      <c r="C877" s="24"/>
      <c r="D877" s="24"/>
      <c r="E877" s="24"/>
      <c r="F877" s="24"/>
      <c r="G877" s="24"/>
      <c r="H877" s="5"/>
      <c r="I877" s="24"/>
    </row>
    <row r="878" spans="3:9" ht="14.25" customHeight="1" x14ac:dyDescent="0.25">
      <c r="C878" s="24"/>
      <c r="D878" s="24"/>
      <c r="E878" s="24"/>
      <c r="F878" s="24"/>
      <c r="G878" s="24"/>
      <c r="H878" s="5"/>
      <c r="I878" s="24"/>
    </row>
    <row r="879" spans="3:9" ht="14.25" customHeight="1" x14ac:dyDescent="0.25">
      <c r="C879" s="24"/>
      <c r="D879" s="24"/>
      <c r="E879" s="24"/>
      <c r="F879" s="24"/>
      <c r="G879" s="24"/>
      <c r="H879" s="5"/>
      <c r="I879" s="24"/>
    </row>
    <row r="880" spans="3:9" ht="14.25" customHeight="1" x14ac:dyDescent="0.25">
      <c r="C880" s="24"/>
      <c r="D880" s="24"/>
      <c r="E880" s="24"/>
      <c r="F880" s="24"/>
      <c r="G880" s="24"/>
      <c r="H880" s="5"/>
      <c r="I880" s="24"/>
    </row>
    <row r="881" spans="2:21" ht="14.25" customHeight="1" x14ac:dyDescent="0.25">
      <c r="C881" s="24"/>
      <c r="D881" s="24"/>
      <c r="E881" s="24"/>
      <c r="F881" s="24"/>
      <c r="G881" s="24"/>
      <c r="H881" s="5"/>
      <c r="I881" s="24"/>
    </row>
    <row r="882" spans="2:21" ht="14.25" customHeight="1" x14ac:dyDescent="0.25">
      <c r="C882" s="24"/>
      <c r="D882" s="24"/>
      <c r="E882" s="24"/>
      <c r="F882" s="24"/>
      <c r="G882" s="24"/>
      <c r="H882" s="5"/>
      <c r="I882" s="24"/>
    </row>
    <row r="883" spans="2:21" ht="14.25" customHeight="1" x14ac:dyDescent="0.25">
      <c r="C883" s="24"/>
      <c r="D883" s="24"/>
      <c r="E883" s="24"/>
      <c r="F883" s="24"/>
      <c r="G883" s="24"/>
      <c r="H883" s="5"/>
      <c r="I883" s="24"/>
    </row>
    <row r="884" spans="2:21" ht="14.25" customHeight="1" x14ac:dyDescent="0.25">
      <c r="C884" s="24"/>
      <c r="D884" s="24"/>
      <c r="E884" s="24"/>
      <c r="F884" s="24"/>
      <c r="G884" s="24"/>
      <c r="H884" s="5"/>
      <c r="I884" s="24"/>
    </row>
    <row r="885" spans="2:21" ht="14.25" customHeight="1" x14ac:dyDescent="0.25">
      <c r="C885" s="24"/>
      <c r="D885" s="24"/>
      <c r="E885" s="24"/>
      <c r="F885" s="24"/>
      <c r="G885" s="24"/>
      <c r="H885" s="5"/>
      <c r="I885" s="24"/>
    </row>
    <row r="886" spans="2:21" ht="14.25" customHeight="1" x14ac:dyDescent="0.25">
      <c r="C886" s="24"/>
      <c r="D886" s="24"/>
      <c r="E886" s="24"/>
      <c r="F886" s="24"/>
      <c r="G886" s="24"/>
      <c r="H886" s="5"/>
      <c r="I886" s="24"/>
    </row>
    <row r="887" spans="2:21" ht="14.25" customHeight="1" x14ac:dyDescent="0.25">
      <c r="C887" s="24"/>
      <c r="D887" s="24"/>
      <c r="E887" s="24"/>
      <c r="F887" s="24"/>
      <c r="G887" s="24"/>
      <c r="H887" s="5"/>
      <c r="I887" s="24"/>
      <c r="K887" s="20"/>
    </row>
    <row r="888" spans="2:21" ht="14.25" customHeight="1" x14ac:dyDescent="0.25">
      <c r="C888" s="24"/>
      <c r="D888" s="24"/>
      <c r="E888" s="24"/>
      <c r="F888" s="24"/>
      <c r="G888" s="46"/>
      <c r="H888" s="5"/>
      <c r="I888" s="24"/>
      <c r="K888" s="46"/>
      <c r="O888" s="46"/>
      <c r="S888" s="46"/>
    </row>
    <row r="889" spans="2:21" ht="14.25" customHeight="1" x14ac:dyDescent="0.25">
      <c r="C889" s="24"/>
      <c r="D889" s="24"/>
      <c r="E889" s="24"/>
      <c r="F889" s="24"/>
      <c r="G889" s="46"/>
      <c r="H889" s="5"/>
      <c r="I889" s="24"/>
      <c r="K889" s="20"/>
      <c r="O889" s="46"/>
      <c r="S889" s="46"/>
    </row>
    <row r="890" spans="2:21" ht="14.25" customHeight="1" x14ac:dyDescent="0.25">
      <c r="C890" s="24"/>
      <c r="D890" s="24"/>
      <c r="E890" s="24"/>
      <c r="F890" s="24"/>
      <c r="G890" s="24"/>
      <c r="H890" s="5"/>
      <c r="I890" s="24"/>
      <c r="K890" s="20"/>
      <c r="U890" s="287"/>
    </row>
    <row r="891" spans="2:21" ht="14.25" customHeight="1" x14ac:dyDescent="0.25">
      <c r="C891" s="24"/>
      <c r="D891" s="24"/>
      <c r="E891" s="24"/>
      <c r="F891" s="24"/>
      <c r="G891" s="46"/>
      <c r="H891" s="5"/>
      <c r="I891" s="24"/>
      <c r="K891" s="20"/>
      <c r="O891" s="46"/>
      <c r="S891" s="46"/>
    </row>
    <row r="892" spans="2:21" ht="14.25" customHeight="1" x14ac:dyDescent="0.25">
      <c r="C892" s="24"/>
      <c r="D892" s="24"/>
      <c r="E892" s="24"/>
      <c r="F892" s="24"/>
      <c r="G892" s="46"/>
      <c r="H892" s="5"/>
      <c r="I892" s="24"/>
      <c r="J892" s="5"/>
      <c r="K892" s="20"/>
      <c r="O892" s="46"/>
      <c r="S892" s="46"/>
    </row>
    <row r="893" spans="2:21" ht="14.25" customHeight="1" x14ac:dyDescent="0.25">
      <c r="C893" s="24"/>
      <c r="D893" s="24"/>
      <c r="E893" s="24"/>
      <c r="F893" s="24"/>
      <c r="G893" s="46"/>
      <c r="H893" s="24"/>
      <c r="I893" s="24"/>
      <c r="J893" s="24"/>
      <c r="K893" s="46"/>
      <c r="L893" s="24"/>
      <c r="N893" s="24"/>
      <c r="O893" s="46"/>
      <c r="P893" s="24"/>
      <c r="R893" s="24"/>
      <c r="S893" s="46"/>
    </row>
    <row r="894" spans="2:21" ht="14.25" customHeight="1" x14ac:dyDescent="0.25">
      <c r="C894" s="24"/>
      <c r="D894" s="24"/>
      <c r="E894" s="24"/>
      <c r="F894" s="24"/>
      <c r="G894" s="24"/>
      <c r="H894" s="5"/>
      <c r="I894" s="24"/>
      <c r="K894" s="24"/>
      <c r="O894" s="24"/>
      <c r="S894" s="24"/>
    </row>
    <row r="895" spans="2:21" s="8" customFormat="1" x14ac:dyDescent="0.25">
      <c r="B895" s="343" t="str">
        <f>TITLE!$C$25</f>
        <v>Дверна коробка CLASSIC</v>
      </c>
      <c r="C895" s="321"/>
      <c r="D895" s="93"/>
      <c r="E895" s="93"/>
      <c r="F895" s="93"/>
      <c r="G895" s="93"/>
      <c r="H895" s="93"/>
      <c r="I895" s="94"/>
      <c r="J895" s="94"/>
      <c r="K895" s="94"/>
      <c r="L895" s="322"/>
      <c r="M895" s="322"/>
      <c r="N895" s="322"/>
      <c r="O895" s="322"/>
      <c r="P895" s="323" t="str">
        <f>IF($C$1="ENG",CONCATENATE("up to: ",B836),CONCATENATE("вгору до: ",B836))</f>
        <v>вгору до: Розсувна система ECO-SLIDE</v>
      </c>
      <c r="Q895" s="323"/>
      <c r="R895" s="323"/>
      <c r="S895" s="323"/>
    </row>
    <row r="896" spans="2:21" s="8" customFormat="1" ht="5.0999999999999996" customHeight="1" x14ac:dyDescent="0.25">
      <c r="B896" s="107"/>
      <c r="C896" s="92"/>
      <c r="D896" s="9"/>
      <c r="E896" s="9"/>
      <c r="F896" s="10"/>
      <c r="G896" s="10"/>
      <c r="H896" s="10"/>
      <c r="L896" s="109"/>
      <c r="M896" s="109"/>
      <c r="N896" s="109"/>
      <c r="O896" s="109"/>
      <c r="P896" s="110"/>
      <c r="Q896" s="110"/>
      <c r="R896" s="110"/>
      <c r="S896" s="110"/>
    </row>
    <row r="897" spans="1:35" ht="12.75" customHeight="1" x14ac:dyDescent="0.25">
      <c r="A897" s="8"/>
      <c r="B897" s="345" t="str">
        <f>IF($C$1="ENG","model","модель")</f>
        <v>модель</v>
      </c>
      <c r="C897" s="95" t="str">
        <f>IF($C$1="ENG","cover:","покриття:")</f>
        <v>покриття:</v>
      </c>
      <c r="D897" s="327" t="str">
        <f>IF($C$1="ENG","ECO-CELL","ECO-CELL")</f>
        <v>ECO-CELL</v>
      </c>
      <c r="E897" s="338"/>
      <c r="F897" s="338"/>
      <c r="G897" s="328"/>
      <c r="H897" s="327" t="str">
        <f>IF($C$1="ENG","ECO-RESIST","ECO-RESIST")</f>
        <v>ECO-RESIST</v>
      </c>
      <c r="I897" s="338"/>
      <c r="J897" s="338"/>
      <c r="K897" s="328"/>
      <c r="L897" s="35"/>
      <c r="M897" s="35"/>
      <c r="N897" s="35"/>
      <c r="O897" s="35"/>
      <c r="P897" s="35"/>
      <c r="Q897" s="35"/>
      <c r="R897" s="35"/>
      <c r="S897" s="35"/>
    </row>
    <row r="898" spans="1:35" ht="12.75" customHeight="1" x14ac:dyDescent="0.25">
      <c r="A898" s="8"/>
      <c r="B898" s="346"/>
      <c r="C898" s="97" t="str">
        <f>IF($C$1="ENG","type:","виконання:")</f>
        <v>виконання:</v>
      </c>
      <c r="D898" s="331" t="str">
        <f>IF($C$1="ENG","single leaf","одностулкове")</f>
        <v>одностулкове</v>
      </c>
      <c r="E898" s="339"/>
      <c r="F898" s="340" t="str">
        <f>IF($C$1="ENG","double leaf","двостулкові")</f>
        <v>двостулкові</v>
      </c>
      <c r="G898" s="332"/>
      <c r="H898" s="331" t="str">
        <f>IF($C$1="ENG","single leaf","одностулкове")</f>
        <v>одностулкове</v>
      </c>
      <c r="I898" s="339"/>
      <c r="J898" s="340" t="str">
        <f>IF($C$1="ENG","double leaf","двостулкові")</f>
        <v>двостулкові</v>
      </c>
      <c r="K898" s="332"/>
      <c r="L898" s="36"/>
      <c r="M898" s="36"/>
      <c r="N898" s="36"/>
      <c r="O898" s="36"/>
      <c r="P898" s="36"/>
      <c r="Q898" s="36"/>
      <c r="R898" s="36"/>
      <c r="S898" s="36"/>
    </row>
    <row r="899" spans="1:35" ht="34.5" customHeight="1" x14ac:dyDescent="0.25">
      <c r="A899" s="8"/>
      <c r="B899" s="108" t="str">
        <f>IF($C$1="ENG","Door Frame 80 mm MDF","Коробка МДФ 80мм")</f>
        <v>Коробка МДФ 80мм</v>
      </c>
      <c r="C899" s="42"/>
      <c r="D899" s="40">
        <f>IF(U899="","",(1-$S$2)*(U899/1.2))</f>
        <v>1750</v>
      </c>
      <c r="E899" s="215">
        <f>IF($S$5=0.2,D899*1.2,D899)/$S$4</f>
        <v>2100</v>
      </c>
      <c r="F899" s="216">
        <f>IF(V899="","",(1-$S$2)*(V899/1.2))</f>
        <v>2450</v>
      </c>
      <c r="G899" s="66">
        <f>IF($S$5=0.2,F899*1.2,F899)/$S$4</f>
        <v>2940</v>
      </c>
      <c r="H899" s="40">
        <f>IF(W899="","",(1-$S$2)*(W899/1.2))</f>
        <v>2058.3333333333335</v>
      </c>
      <c r="I899" s="215">
        <f>IF($S$5=0.2,H899*1.2,H899)/$S$4</f>
        <v>2470</v>
      </c>
      <c r="J899" s="216">
        <f>IF(X899="","",(1-$S$2)*(X899/1.2))</f>
        <v>2883.3333333333335</v>
      </c>
      <c r="K899" s="66">
        <f>IF($S$5=0.2,J899*1.2,J899)/$S$4</f>
        <v>3460</v>
      </c>
      <c r="L899" s="26"/>
      <c r="M899" s="49"/>
      <c r="N899" s="26"/>
      <c r="O899" s="49"/>
      <c r="P899" s="26"/>
      <c r="Q899" s="49"/>
      <c r="R899" s="26"/>
      <c r="S899" s="49"/>
      <c r="T899" s="20"/>
      <c r="U899" s="310">
        <v>2100</v>
      </c>
      <c r="V899" s="311">
        <v>2940</v>
      </c>
      <c r="W899" s="286">
        <v>2470</v>
      </c>
      <c r="X899" s="286">
        <v>3460</v>
      </c>
      <c r="Y899" s="286"/>
      <c r="Z899" s="286"/>
      <c r="AA899" s="286"/>
      <c r="AB899" s="286"/>
      <c r="AC899" s="20"/>
    </row>
    <row r="900" spans="1:35" s="37" customFormat="1" ht="24" customHeight="1" x14ac:dyDescent="0.25">
      <c r="B900" s="43" t="str">
        <f>IF($C$1="ENG","MASKING ARCHITRAVES","ЛИШТВА")</f>
        <v>ЛИШТВА</v>
      </c>
      <c r="C900" s="44"/>
      <c r="D900" s="26"/>
      <c r="E900" s="49"/>
      <c r="F900" s="26"/>
      <c r="G900" s="49"/>
      <c r="H900" s="40"/>
      <c r="I900" s="49"/>
      <c r="J900" s="216"/>
      <c r="K900" s="49"/>
      <c r="L900" s="26"/>
      <c r="M900" s="27"/>
      <c r="N900" s="26"/>
      <c r="O900" s="49"/>
      <c r="P900" s="26"/>
      <c r="Q900" s="27"/>
      <c r="R900" s="26"/>
      <c r="S900" s="49"/>
    </row>
    <row r="901" spans="1:35" ht="34.5" customHeight="1" x14ac:dyDescent="0.25">
      <c r="A901" s="8"/>
      <c r="B901" s="38" t="str">
        <f>IF($C$1="ENG","Straight (set for 1 side) 60 mm","Прямокутна (1 к-т) 60 мм")</f>
        <v>Прямокутна (1 к-т) 60 мм</v>
      </c>
      <c r="C901" s="234"/>
      <c r="D901" s="40">
        <f>IF(U901="","",(1-$S$2)*(U901/1.2))</f>
        <v>491.66666666666669</v>
      </c>
      <c r="E901" s="215">
        <f>IF($S$5=0.2,D901*1.2,D901)/$S$4</f>
        <v>590</v>
      </c>
      <c r="F901" s="216">
        <f>IF(V901="","",(1-$S$2)*(V901/1.2))</f>
        <v>633.33333333333337</v>
      </c>
      <c r="G901" s="66">
        <f>IF($S$5=0.2,F901*1.2,F901)/$S$4</f>
        <v>760</v>
      </c>
      <c r="H901" s="40">
        <f t="shared" ref="H901:H906" si="58">IF(W901="","",(1-$S$2)*(W901/1.2))</f>
        <v>658.33333333333337</v>
      </c>
      <c r="I901" s="215">
        <f>IF($S$5=0.2,H901*1.2,H901)/$S$4</f>
        <v>790</v>
      </c>
      <c r="J901" s="216">
        <f t="shared" ref="J901:J906" si="59">IF(X901="","",(1-$S$2)*(X901/1.2))</f>
        <v>850</v>
      </c>
      <c r="K901" s="215">
        <f>IF($S$5=0.2,J901*1.2,J901)/$S$4</f>
        <v>1020</v>
      </c>
      <c r="L901" s="26"/>
      <c r="M901" s="49"/>
      <c r="N901" s="26"/>
      <c r="O901" s="49"/>
      <c r="P901" s="26"/>
      <c r="Q901" s="49"/>
      <c r="R901" s="26"/>
      <c r="S901" s="49"/>
      <c r="T901" s="20"/>
      <c r="U901" s="312">
        <v>590</v>
      </c>
      <c r="V901" s="312">
        <v>760</v>
      </c>
      <c r="W901" s="312">
        <v>790</v>
      </c>
      <c r="X901" s="312">
        <v>1020</v>
      </c>
      <c r="Y901" s="286"/>
      <c r="Z901" s="286"/>
      <c r="AA901" s="286"/>
      <c r="AB901" s="286"/>
      <c r="AC901" s="20"/>
      <c r="AI901" s="20"/>
    </row>
    <row r="902" spans="1:35" ht="34.5" customHeight="1" x14ac:dyDescent="0.25">
      <c r="A902" s="8"/>
      <c r="B902" s="38" t="str">
        <f>IF($C$1="ENG","Straight (set for 1 side) 80 mm","Прямокутна (1 к-т) 80 мм")</f>
        <v>Прямокутна (1 к-т) 80 мм</v>
      </c>
      <c r="C902" s="234"/>
      <c r="D902" s="40">
        <f>IF(U902="","",(1-$S$2)*(U902/1.2))</f>
        <v>575</v>
      </c>
      <c r="E902" s="215">
        <f>IF($S$5=0.2,D902*1.2,D902)/$S$4</f>
        <v>690</v>
      </c>
      <c r="F902" s="216">
        <f>IF(V902="","",(1-$S$2)*(V902/1.2))</f>
        <v>741.66666666666674</v>
      </c>
      <c r="G902" s="66">
        <f>IF($S$5=0.2,F902*1.2,F902)/$S$4</f>
        <v>890.00000000000011</v>
      </c>
      <c r="H902" s="40">
        <f t="shared" si="58"/>
        <v>816.66666666666674</v>
      </c>
      <c r="I902" s="215">
        <f>IF($S$5=0.2,H902*1.2,H902)/$S$4</f>
        <v>980</v>
      </c>
      <c r="J902" s="216">
        <f t="shared" si="59"/>
        <v>1058.3333333333335</v>
      </c>
      <c r="K902" s="215">
        <f>IF($S$5=0.2,J902*1.2,J902)/$S$4</f>
        <v>1270.0000000000002</v>
      </c>
      <c r="L902" s="26"/>
      <c r="M902" s="49"/>
      <c r="N902" s="26"/>
      <c r="O902" s="49"/>
      <c r="P902" s="26"/>
      <c r="Q902" s="49"/>
      <c r="R902" s="26"/>
      <c r="S902" s="49"/>
      <c r="T902" s="20"/>
      <c r="U902" s="312">
        <v>690</v>
      </c>
      <c r="V902" s="312">
        <v>890</v>
      </c>
      <c r="W902" s="312">
        <v>980</v>
      </c>
      <c r="X902" s="312">
        <v>1270</v>
      </c>
      <c r="Y902" s="286"/>
      <c r="Z902" s="286"/>
      <c r="AA902" s="286"/>
      <c r="AB902" s="286"/>
      <c r="AC902" s="20"/>
      <c r="AI902" s="20"/>
    </row>
    <row r="903" spans="1:35" s="37" customFormat="1" ht="24.75" customHeight="1" x14ac:dyDescent="0.25">
      <c r="B903" s="43" t="str">
        <f>IF($C$1="ENG","ADJUSTABLE PANELS","ДОБІРНІ ПЛАНКИ")</f>
        <v>ДОБІРНІ ПЛАНКИ</v>
      </c>
      <c r="C903" s="44"/>
      <c r="D903" s="26"/>
      <c r="E903" s="49"/>
      <c r="F903" s="26"/>
      <c r="G903" s="49"/>
      <c r="H903" s="40"/>
      <c r="I903" s="49"/>
      <c r="J903" s="216"/>
      <c r="K903" s="49"/>
      <c r="L903" s="26"/>
      <c r="M903" s="49"/>
      <c r="N903" s="26"/>
      <c r="O903" s="49"/>
      <c r="P903" s="41"/>
      <c r="Q903" s="45"/>
      <c r="AI903" s="20"/>
    </row>
    <row r="904" spans="1:35" ht="34.5" customHeight="1" x14ac:dyDescent="0.25">
      <c r="A904" s="8"/>
      <c r="B904" s="255" t="str">
        <f>IF($C$1="ENG","Panel (1 set) 60 mm","Планка (1 к-т) 60 мм")</f>
        <v>Планка (1 к-т) 60 мм</v>
      </c>
      <c r="C904" s="256"/>
      <c r="D904" s="257">
        <f>IF(U904="","",(1-$S$2)*(U904/1.2))</f>
        <v>491.66666666666669</v>
      </c>
      <c r="E904" s="258">
        <f>IF($S$5=0.2,D904*1.2,D904)/$S$4</f>
        <v>590</v>
      </c>
      <c r="F904" s="257">
        <f>IF(V904="","",(1-$S$2)*(V904/1.2))</f>
        <v>633.33333333333337</v>
      </c>
      <c r="G904" s="259">
        <f>IF($S$5=0.2,F904*1.2,F904)/$S$4</f>
        <v>760</v>
      </c>
      <c r="H904" s="40">
        <f t="shared" si="58"/>
        <v>658.33333333333337</v>
      </c>
      <c r="I904" s="258">
        <f>IF($S$5=0.2,H904*1.2,H904)/$S$4</f>
        <v>790</v>
      </c>
      <c r="J904" s="216">
        <f t="shared" si="59"/>
        <v>850</v>
      </c>
      <c r="K904" s="259">
        <f>IF($S$5=0.2,J904*1.2,J904)/$S$4</f>
        <v>1020</v>
      </c>
      <c r="L904" s="26"/>
      <c r="M904" s="49"/>
      <c r="N904" s="26"/>
      <c r="O904" s="49"/>
      <c r="P904" s="26"/>
      <c r="Q904" s="49"/>
      <c r="R904" s="26"/>
      <c r="S904" s="49"/>
      <c r="T904" s="20"/>
      <c r="U904" s="312">
        <v>590</v>
      </c>
      <c r="V904" s="312">
        <v>760</v>
      </c>
      <c r="W904" s="312">
        <v>790</v>
      </c>
      <c r="X904" s="312">
        <v>1020</v>
      </c>
      <c r="Y904" s="286"/>
      <c r="Z904" s="286"/>
      <c r="AA904" s="286"/>
      <c r="AB904" s="286"/>
      <c r="AC904" s="20"/>
      <c r="AI904" s="20"/>
    </row>
    <row r="905" spans="1:35" ht="34.5" customHeight="1" x14ac:dyDescent="0.25">
      <c r="A905" s="8"/>
      <c r="B905" s="260" t="str">
        <f>IF($C$1="ENG","Panel (1 set) 110 mm","Планка (1 к-т) 110 мм")</f>
        <v>Планка (1 к-т) 110 мм</v>
      </c>
      <c r="C905" s="261"/>
      <c r="D905" s="262">
        <f>IF(U905="","",(1-$S$2)*(U905/1.2))</f>
        <v>758.33333333333337</v>
      </c>
      <c r="E905" s="263">
        <f>IF($S$5=0.2,D905*1.2,D905)/$S$4</f>
        <v>910</v>
      </c>
      <c r="F905" s="262">
        <f>IF(V905="","",(1-$S$2)*(V905/1.2))</f>
        <v>983.33333333333337</v>
      </c>
      <c r="G905" s="264">
        <f>IF($S$5=0.2,F905*1.2,F905)/$S$4</f>
        <v>1180</v>
      </c>
      <c r="H905" s="40">
        <f t="shared" si="58"/>
        <v>1000</v>
      </c>
      <c r="I905" s="263">
        <f>IF($S$5=0.2,H905*1.2,H905)/$S$4</f>
        <v>1200</v>
      </c>
      <c r="J905" s="216">
        <f t="shared" si="59"/>
        <v>1300</v>
      </c>
      <c r="K905" s="264">
        <f>IF($S$5=0.2,J905*1.2,J905)/$S$4</f>
        <v>1560</v>
      </c>
      <c r="L905" s="26"/>
      <c r="M905" s="49"/>
      <c r="N905" s="26"/>
      <c r="O905" s="49"/>
      <c r="P905" s="26"/>
      <c r="Q905" s="49"/>
      <c r="R905" s="26"/>
      <c r="S905" s="49"/>
      <c r="T905" s="20"/>
      <c r="U905" s="312">
        <v>910</v>
      </c>
      <c r="V905" s="312">
        <v>1180</v>
      </c>
      <c r="W905" s="312">
        <v>1200</v>
      </c>
      <c r="X905" s="312">
        <v>1560</v>
      </c>
      <c r="Y905" s="286"/>
      <c r="Z905" s="286"/>
      <c r="AA905" s="286"/>
      <c r="AB905" s="286"/>
      <c r="AC905" s="20"/>
      <c r="AI905" s="20"/>
    </row>
    <row r="906" spans="1:35" ht="34.5" customHeight="1" x14ac:dyDescent="0.25">
      <c r="A906" s="8"/>
      <c r="B906" s="265" t="str">
        <f>IF($C$1="ENG","Panel (1 set) 200 mm","Планка (1 к-т) 200 мм")</f>
        <v>Планка (1 к-т) 200 мм</v>
      </c>
      <c r="C906" s="266"/>
      <c r="D906" s="267">
        <f>IF(U906="","",(1-$S$2)*(U906/1.2))</f>
        <v>1475</v>
      </c>
      <c r="E906" s="268">
        <f>IF($S$5=0.2,D906*1.2,D906)/$S$4</f>
        <v>1770</v>
      </c>
      <c r="F906" s="267">
        <f>IF(V906="","",(1-$S$2)*(V906/1.2))</f>
        <v>1916.6666666666667</v>
      </c>
      <c r="G906" s="269">
        <f>IF($S$5=0.2,F906*1.2,F906)/$S$4</f>
        <v>2300</v>
      </c>
      <c r="H906" s="40">
        <f t="shared" si="58"/>
        <v>2016.6666666666667</v>
      </c>
      <c r="I906" s="268">
        <f>IF($S$5=0.2,H906*1.2,H906)/$S$4</f>
        <v>2420</v>
      </c>
      <c r="J906" s="216">
        <f t="shared" si="59"/>
        <v>2625</v>
      </c>
      <c r="K906" s="269">
        <f>IF($S$5=0.2,J906*1.2,J906)/$S$4</f>
        <v>3150</v>
      </c>
      <c r="L906" s="26"/>
      <c r="M906" s="49"/>
      <c r="N906" s="26"/>
      <c r="O906" s="49"/>
      <c r="P906" s="26"/>
      <c r="Q906" s="49"/>
      <c r="R906" s="26"/>
      <c r="S906" s="49"/>
      <c r="T906" s="20"/>
      <c r="U906" s="312">
        <v>1770</v>
      </c>
      <c r="V906" s="312">
        <v>2300</v>
      </c>
      <c r="W906" s="312">
        <v>2420</v>
      </c>
      <c r="X906" s="312">
        <v>3150</v>
      </c>
      <c r="Y906" s="286"/>
      <c r="Z906" s="286"/>
      <c r="AA906" s="286"/>
      <c r="AB906" s="286"/>
      <c r="AC906" s="20"/>
      <c r="AI906" s="20"/>
    </row>
    <row r="907" spans="1:35" x14ac:dyDescent="0.25">
      <c r="C907" s="24"/>
      <c r="D907" s="24"/>
      <c r="E907" s="46"/>
      <c r="F907" s="10"/>
      <c r="G907" s="67"/>
      <c r="H907" s="10"/>
      <c r="I907" s="65"/>
      <c r="J907" s="8"/>
      <c r="K907" s="65"/>
      <c r="L907" s="37"/>
      <c r="M907" s="37"/>
      <c r="N907" s="37"/>
      <c r="O907" s="37"/>
      <c r="AI907" s="20"/>
    </row>
    <row r="908" spans="1:35" x14ac:dyDescent="0.25">
      <c r="B908" s="155" t="str">
        <f>IF($C$1="ENG","For additonal charge:","Послуги за додаткову плату:")</f>
        <v>Послуги за додаткову плату:</v>
      </c>
      <c r="C908" s="156"/>
      <c r="D908" s="156"/>
      <c r="E908" s="157"/>
      <c r="F908" s="33"/>
      <c r="G908" s="33"/>
      <c r="H908" s="10"/>
      <c r="I908" s="65"/>
      <c r="J908" s="8"/>
      <c r="K908" s="8"/>
      <c r="L908" s="81"/>
      <c r="M908" s="65"/>
      <c r="N908" s="81"/>
      <c r="Q908" s="65"/>
    </row>
    <row r="909" spans="1:35" ht="5.0999999999999996" customHeight="1" x14ac:dyDescent="0.25">
      <c r="B909" s="25"/>
      <c r="C909" s="24"/>
      <c r="D909" s="24"/>
      <c r="E909" s="46"/>
      <c r="F909" s="24"/>
      <c r="G909" s="24"/>
      <c r="H909" s="10"/>
      <c r="I909" s="8"/>
      <c r="J909" s="8"/>
      <c r="K909" s="8"/>
      <c r="M909" s="8"/>
      <c r="Q909" s="8"/>
    </row>
    <row r="910" spans="1:35" x14ac:dyDescent="0.25">
      <c r="B910" s="347" t="str">
        <f>IF($C$1="ENG","wooden door threshold","поріг сосновий")</f>
        <v>поріг сосновий</v>
      </c>
      <c r="C910" s="348"/>
      <c r="D910" s="230">
        <f>IF(U910="","",(1-$S$2)*(U910/1.2))</f>
        <v>525</v>
      </c>
      <c r="E910" s="231">
        <f>IF($S$5=0.2,D910*1.2,D910)/$S$4</f>
        <v>630</v>
      </c>
      <c r="F910" s="24"/>
      <c r="G910" s="24"/>
      <c r="I910" s="20"/>
      <c r="K910" s="24"/>
      <c r="M910" s="20"/>
      <c r="O910" s="24"/>
      <c r="Q910" s="20"/>
      <c r="S910" s="24"/>
      <c r="U910" s="286">
        <v>630</v>
      </c>
      <c r="V910" s="286"/>
      <c r="W910" s="286"/>
      <c r="X910" s="286"/>
      <c r="Y910" s="286"/>
      <c r="Z910" s="286"/>
      <c r="AA910" s="286"/>
      <c r="AB910" s="286"/>
    </row>
    <row r="911" spans="1:35" ht="14.25" customHeight="1" x14ac:dyDescent="0.25">
      <c r="C911" s="24"/>
      <c r="D911" s="24"/>
      <c r="E911" s="24"/>
      <c r="F911" s="24"/>
      <c r="G911" s="24"/>
      <c r="H911" s="5"/>
      <c r="I911" s="20"/>
      <c r="M911" s="20"/>
      <c r="P911" s="333" t="str">
        <f>IF($C$1="ENG",CONCATENATE("down to: ",B961),CONCATENATE("вниз до: ",B961))</f>
        <v>вниз до: Дверна коробка ECO-FIT</v>
      </c>
      <c r="Q911" s="333"/>
      <c r="R911" s="333"/>
      <c r="S911" s="333"/>
    </row>
    <row r="912" spans="1:35" ht="14.25" customHeight="1" x14ac:dyDescent="0.25">
      <c r="C912" s="24"/>
      <c r="D912" s="24"/>
      <c r="E912" s="24"/>
      <c r="F912" s="24"/>
      <c r="G912" s="46"/>
      <c r="H912" s="5"/>
      <c r="I912" s="20"/>
      <c r="K912" s="46"/>
      <c r="M912" s="20"/>
      <c r="O912" s="46"/>
      <c r="P912" s="30"/>
      <c r="Q912" s="20"/>
      <c r="R912" s="30"/>
      <c r="S912" s="30"/>
    </row>
    <row r="913" spans="3:19" ht="14.25" customHeight="1" x14ac:dyDescent="0.25">
      <c r="C913" s="24"/>
      <c r="D913" s="24"/>
      <c r="E913" s="46"/>
      <c r="F913" s="24"/>
      <c r="G913" s="46"/>
      <c r="H913" s="5"/>
      <c r="I913" s="46"/>
      <c r="K913" s="46"/>
      <c r="M913" s="46"/>
      <c r="O913" s="46"/>
      <c r="P913" s="30"/>
      <c r="Q913" s="30"/>
      <c r="R913" s="30"/>
      <c r="S913" s="46"/>
    </row>
    <row r="914" spans="3:19" ht="14.25" customHeight="1" x14ac:dyDescent="0.25">
      <c r="C914" s="24"/>
      <c r="D914" s="24"/>
      <c r="E914" s="24"/>
      <c r="F914" s="24"/>
      <c r="G914" s="46"/>
      <c r="H914" s="205"/>
      <c r="K914" s="46"/>
      <c r="L914" s="205"/>
      <c r="O914" s="46"/>
      <c r="P914" s="205"/>
      <c r="Q914" s="30"/>
      <c r="R914" s="30"/>
      <c r="S914" s="46"/>
    </row>
    <row r="915" spans="3:19" ht="14.25" customHeight="1" x14ac:dyDescent="0.25">
      <c r="C915" s="24"/>
      <c r="D915" s="24"/>
      <c r="E915" s="24"/>
      <c r="F915" s="24"/>
      <c r="G915" s="24"/>
      <c r="H915" s="205"/>
      <c r="K915" s="24"/>
      <c r="L915" s="205"/>
      <c r="O915" s="24"/>
      <c r="P915" s="205"/>
      <c r="Q915" s="30"/>
      <c r="R915" s="30"/>
      <c r="S915" s="24"/>
    </row>
    <row r="916" spans="3:19" ht="14.25" customHeight="1" x14ac:dyDescent="0.25">
      <c r="C916" s="24"/>
      <c r="D916" s="24"/>
      <c r="E916" s="24"/>
      <c r="F916" s="24"/>
      <c r="G916" s="46"/>
      <c r="H916" s="5"/>
      <c r="I916" s="46"/>
      <c r="K916" s="46"/>
      <c r="M916" s="46"/>
      <c r="O916" s="46"/>
      <c r="P916" s="30"/>
      <c r="Q916" s="30"/>
      <c r="R916" s="30"/>
      <c r="S916" s="46"/>
    </row>
    <row r="917" spans="3:19" ht="14.25" customHeight="1" x14ac:dyDescent="0.25">
      <c r="C917" s="24"/>
      <c r="D917" s="24"/>
      <c r="E917" s="24"/>
      <c r="F917" s="24"/>
      <c r="G917" s="46"/>
      <c r="H917" s="205"/>
      <c r="K917" s="46"/>
      <c r="L917" s="205"/>
      <c r="O917" s="46"/>
      <c r="P917" s="205"/>
      <c r="Q917" s="30"/>
      <c r="R917" s="30"/>
      <c r="S917" s="46"/>
    </row>
    <row r="918" spans="3:19" ht="14.25" customHeight="1" x14ac:dyDescent="0.25">
      <c r="C918" s="24"/>
      <c r="D918" s="24"/>
      <c r="E918" s="24"/>
      <c r="F918" s="24"/>
      <c r="G918" s="24"/>
      <c r="H918" s="205"/>
      <c r="K918" s="24"/>
      <c r="L918" s="205"/>
      <c r="O918" s="24"/>
      <c r="P918" s="205"/>
      <c r="Q918" s="30"/>
      <c r="R918" s="30"/>
      <c r="S918" s="24"/>
    </row>
    <row r="919" spans="3:19" ht="14.25" customHeight="1" x14ac:dyDescent="0.25">
      <c r="C919" s="24"/>
      <c r="D919" s="24"/>
      <c r="E919" s="24"/>
      <c r="F919" s="24"/>
      <c r="G919" s="24"/>
      <c r="H919" s="5"/>
    </row>
    <row r="920" spans="3:19" ht="14.25" customHeight="1" x14ac:dyDescent="0.25">
      <c r="C920" s="24"/>
      <c r="D920" s="24"/>
      <c r="E920" s="24"/>
      <c r="F920" s="24"/>
      <c r="G920" s="24"/>
      <c r="H920" s="5"/>
    </row>
    <row r="921" spans="3:19" ht="14.25" customHeight="1" x14ac:dyDescent="0.25">
      <c r="C921" s="24"/>
      <c r="D921" s="24"/>
      <c r="E921" s="24"/>
      <c r="F921" s="24"/>
      <c r="G921" s="24"/>
      <c r="H921" s="5"/>
    </row>
    <row r="922" spans="3:19" ht="14.25" customHeight="1" x14ac:dyDescent="0.25">
      <c r="C922" s="24"/>
      <c r="D922" s="24"/>
      <c r="E922" s="24"/>
      <c r="F922" s="24"/>
      <c r="G922" s="24"/>
      <c r="H922" s="5"/>
    </row>
    <row r="923" spans="3:19" ht="14.25" customHeight="1" x14ac:dyDescent="0.25">
      <c r="C923" s="24"/>
      <c r="D923" s="24"/>
      <c r="E923" s="24"/>
      <c r="F923" s="24"/>
      <c r="G923" s="24"/>
      <c r="H923" s="5"/>
    </row>
    <row r="924" spans="3:19" ht="14.25" customHeight="1" x14ac:dyDescent="0.25">
      <c r="C924" s="24"/>
      <c r="D924" s="24"/>
      <c r="E924" s="24"/>
      <c r="F924" s="24"/>
      <c r="G924" s="24"/>
      <c r="H924" s="5"/>
    </row>
    <row r="925" spans="3:19" ht="14.25" customHeight="1" x14ac:dyDescent="0.25">
      <c r="C925" s="24"/>
      <c r="D925" s="24"/>
      <c r="E925" s="24"/>
      <c r="F925" s="24"/>
      <c r="G925" s="24"/>
      <c r="H925" s="5"/>
    </row>
    <row r="926" spans="3:19" ht="14.25" customHeight="1" x14ac:dyDescent="0.25">
      <c r="C926" s="24"/>
      <c r="D926" s="24"/>
      <c r="E926" s="24"/>
      <c r="F926" s="24"/>
      <c r="G926" s="24"/>
      <c r="H926" s="5"/>
    </row>
    <row r="927" spans="3:19" ht="14.25" customHeight="1" x14ac:dyDescent="0.25">
      <c r="C927" s="24"/>
      <c r="D927" s="24"/>
      <c r="E927" s="24"/>
      <c r="F927" s="24"/>
      <c r="G927" s="24"/>
      <c r="H927" s="5"/>
    </row>
    <row r="928" spans="3:19" ht="14.25" customHeight="1" x14ac:dyDescent="0.25">
      <c r="C928" s="24"/>
      <c r="D928" s="24"/>
      <c r="E928" s="24"/>
      <c r="F928" s="24"/>
      <c r="G928" s="24"/>
      <c r="H928" s="5"/>
    </row>
    <row r="929" spans="3:8" ht="14.25" customHeight="1" x14ac:dyDescent="0.25">
      <c r="C929" s="24"/>
      <c r="D929" s="24"/>
      <c r="E929" s="24"/>
      <c r="F929" s="24"/>
      <c r="G929" s="24"/>
      <c r="H929" s="5"/>
    </row>
    <row r="930" spans="3:8" ht="14.25" customHeight="1" x14ac:dyDescent="0.25">
      <c r="C930" s="24"/>
      <c r="D930" s="24"/>
      <c r="E930" s="24"/>
      <c r="F930" s="24"/>
      <c r="G930" s="24"/>
      <c r="H930" s="5"/>
    </row>
    <row r="931" spans="3:8" ht="14.25" customHeight="1" x14ac:dyDescent="0.25">
      <c r="C931" s="24"/>
      <c r="D931" s="24"/>
      <c r="E931" s="24"/>
      <c r="F931" s="24"/>
      <c r="G931" s="24"/>
      <c r="H931" s="5"/>
    </row>
    <row r="932" spans="3:8" ht="14.25" customHeight="1" x14ac:dyDescent="0.25">
      <c r="C932" s="24"/>
      <c r="D932" s="24"/>
      <c r="E932" s="24"/>
      <c r="F932" s="24"/>
      <c r="G932" s="24"/>
      <c r="H932" s="5"/>
    </row>
    <row r="933" spans="3:8" ht="14.25" customHeight="1" x14ac:dyDescent="0.25">
      <c r="C933" s="24"/>
      <c r="D933" s="24"/>
      <c r="E933" s="24"/>
      <c r="F933" s="24"/>
      <c r="G933" s="24"/>
      <c r="H933" s="5"/>
    </row>
    <row r="934" spans="3:8" ht="14.25" customHeight="1" x14ac:dyDescent="0.25">
      <c r="C934" s="24"/>
      <c r="D934" s="24"/>
      <c r="E934" s="24"/>
      <c r="F934" s="24"/>
      <c r="G934" s="24"/>
      <c r="H934" s="5"/>
    </row>
    <row r="935" spans="3:8" ht="14.25" customHeight="1" x14ac:dyDescent="0.25">
      <c r="C935" s="24"/>
      <c r="D935" s="24"/>
      <c r="E935" s="24"/>
      <c r="F935" s="24"/>
      <c r="G935" s="24"/>
      <c r="H935" s="5"/>
    </row>
    <row r="936" spans="3:8" ht="14.25" customHeight="1" x14ac:dyDescent="0.25">
      <c r="C936" s="24"/>
      <c r="D936" s="24"/>
      <c r="E936" s="24"/>
      <c r="F936" s="24"/>
      <c r="G936" s="24"/>
      <c r="H936" s="5"/>
    </row>
    <row r="937" spans="3:8" ht="14.25" customHeight="1" x14ac:dyDescent="0.25">
      <c r="C937" s="24"/>
      <c r="D937" s="24"/>
      <c r="E937" s="24"/>
      <c r="F937" s="24"/>
      <c r="G937" s="24"/>
      <c r="H937" s="5"/>
    </row>
    <row r="938" spans="3:8" ht="14.25" customHeight="1" x14ac:dyDescent="0.25">
      <c r="C938" s="24"/>
      <c r="D938" s="24"/>
      <c r="E938" s="24"/>
      <c r="F938" s="24"/>
      <c r="G938" s="24"/>
      <c r="H938" s="5"/>
    </row>
    <row r="939" spans="3:8" ht="14.25" customHeight="1" x14ac:dyDescent="0.25">
      <c r="C939" s="24"/>
      <c r="D939" s="24"/>
      <c r="E939" s="24"/>
      <c r="F939" s="24"/>
      <c r="G939" s="24"/>
      <c r="H939" s="5"/>
    </row>
    <row r="940" spans="3:8" ht="14.25" customHeight="1" x14ac:dyDescent="0.25">
      <c r="C940" s="24"/>
      <c r="D940" s="24"/>
      <c r="E940" s="24"/>
      <c r="F940" s="24"/>
      <c r="G940" s="24"/>
      <c r="H940" s="5"/>
    </row>
    <row r="941" spans="3:8" ht="14.25" customHeight="1" x14ac:dyDescent="0.25">
      <c r="C941" s="24"/>
      <c r="D941" s="24"/>
      <c r="E941" s="24"/>
      <c r="F941" s="24"/>
      <c r="G941" s="24"/>
      <c r="H941" s="5"/>
    </row>
    <row r="942" spans="3:8" ht="14.25" customHeight="1" x14ac:dyDescent="0.25">
      <c r="C942" s="24"/>
      <c r="D942" s="24"/>
      <c r="E942" s="24"/>
      <c r="F942" s="24"/>
      <c r="G942" s="24"/>
      <c r="H942" s="5"/>
    </row>
    <row r="943" spans="3:8" ht="14.25" customHeight="1" x14ac:dyDescent="0.25">
      <c r="C943" s="24"/>
      <c r="D943" s="24"/>
      <c r="E943" s="24"/>
      <c r="F943" s="24"/>
      <c r="G943" s="24"/>
      <c r="H943" s="5"/>
    </row>
    <row r="944" spans="3:8" ht="14.25" customHeight="1" x14ac:dyDescent="0.25">
      <c r="C944" s="24"/>
      <c r="D944" s="24"/>
      <c r="E944" s="24"/>
      <c r="F944" s="24"/>
      <c r="G944" s="24"/>
      <c r="H944" s="5"/>
    </row>
    <row r="945" spans="3:21" ht="14.25" customHeight="1" x14ac:dyDescent="0.25">
      <c r="C945" s="24"/>
      <c r="D945" s="24"/>
      <c r="E945" s="24"/>
      <c r="F945" s="24"/>
      <c r="G945" s="24"/>
      <c r="H945" s="5"/>
    </row>
    <row r="946" spans="3:21" ht="14.25" customHeight="1" x14ac:dyDescent="0.25">
      <c r="C946" s="24"/>
      <c r="D946" s="24"/>
      <c r="E946" s="24"/>
      <c r="F946" s="24"/>
      <c r="G946" s="24"/>
      <c r="H946" s="5"/>
    </row>
    <row r="947" spans="3:21" ht="14.25" customHeight="1" x14ac:dyDescent="0.25">
      <c r="C947" s="24"/>
      <c r="D947" s="24"/>
      <c r="E947" s="24"/>
      <c r="F947" s="24"/>
      <c r="G947" s="24"/>
      <c r="H947" s="5"/>
    </row>
    <row r="948" spans="3:21" ht="14.25" customHeight="1" x14ac:dyDescent="0.25">
      <c r="C948" s="24"/>
      <c r="D948" s="24"/>
      <c r="E948" s="24"/>
      <c r="F948" s="24"/>
      <c r="G948" s="24"/>
      <c r="H948" s="5"/>
      <c r="K948" s="20"/>
    </row>
    <row r="949" spans="3:21" ht="14.25" customHeight="1" x14ac:dyDescent="0.25">
      <c r="C949" s="24"/>
      <c r="D949" s="24"/>
      <c r="E949" s="24"/>
      <c r="F949" s="24"/>
      <c r="G949" s="24"/>
      <c r="H949" s="5"/>
      <c r="K949" s="20"/>
    </row>
    <row r="950" spans="3:21" ht="14.25" customHeight="1" x14ac:dyDescent="0.25">
      <c r="C950" s="24"/>
      <c r="D950" s="24"/>
      <c r="E950" s="24"/>
      <c r="F950" s="24"/>
      <c r="G950" s="24"/>
      <c r="H950" s="5"/>
      <c r="K950" s="20"/>
    </row>
    <row r="951" spans="3:21" ht="14.25" customHeight="1" x14ac:dyDescent="0.25">
      <c r="C951" s="24"/>
      <c r="D951" s="24"/>
      <c r="E951" s="24"/>
      <c r="F951" s="24"/>
      <c r="G951" s="24"/>
      <c r="H951" s="5"/>
      <c r="K951" s="20"/>
    </row>
    <row r="952" spans="3:21" ht="14.25" customHeight="1" x14ac:dyDescent="0.25">
      <c r="C952" s="24"/>
      <c r="D952" s="24"/>
      <c r="E952" s="24"/>
      <c r="F952" s="24"/>
      <c r="G952" s="24"/>
      <c r="H952" s="5"/>
      <c r="K952" s="20"/>
      <c r="U952" s="287"/>
    </row>
    <row r="953" spans="3:21" ht="14.25" customHeight="1" x14ac:dyDescent="0.25">
      <c r="C953" s="24"/>
      <c r="D953" s="24"/>
      <c r="E953" s="24"/>
      <c r="F953" s="24"/>
      <c r="G953" s="24"/>
      <c r="H953" s="5"/>
      <c r="K953" s="20"/>
    </row>
    <row r="954" spans="3:21" ht="14.25" customHeight="1" x14ac:dyDescent="0.25">
      <c r="C954" s="24"/>
      <c r="D954" s="24"/>
      <c r="E954" s="24"/>
      <c r="F954" s="24"/>
      <c r="G954" s="46"/>
      <c r="H954" s="5"/>
      <c r="K954" s="20"/>
      <c r="O954" s="46"/>
      <c r="S954" s="46"/>
    </row>
    <row r="955" spans="3:21" ht="14.25" customHeight="1" x14ac:dyDescent="0.25">
      <c r="C955" s="24"/>
      <c r="D955" s="24"/>
      <c r="E955" s="24"/>
      <c r="F955" s="24"/>
      <c r="G955" s="46"/>
      <c r="H955" s="5"/>
      <c r="K955" s="20"/>
      <c r="O955" s="46"/>
      <c r="S955" s="46"/>
    </row>
    <row r="956" spans="3:21" ht="14.25" customHeight="1" x14ac:dyDescent="0.25">
      <c r="C956" s="24"/>
      <c r="D956" s="24"/>
      <c r="E956" s="24"/>
      <c r="F956" s="24"/>
      <c r="G956" s="46"/>
      <c r="H956" s="5"/>
      <c r="K956" s="20"/>
      <c r="O956" s="46"/>
      <c r="S956" s="46"/>
    </row>
    <row r="957" spans="3:21" ht="14.25" customHeight="1" x14ac:dyDescent="0.25">
      <c r="C957" s="24"/>
      <c r="D957" s="24"/>
      <c r="E957" s="24"/>
      <c r="F957" s="24"/>
      <c r="G957" s="46"/>
      <c r="H957" s="5"/>
      <c r="K957" s="20"/>
      <c r="O957" s="46"/>
      <c r="S957" s="46"/>
    </row>
    <row r="958" spans="3:21" ht="14.25" customHeight="1" x14ac:dyDescent="0.25">
      <c r="C958" s="24"/>
      <c r="D958" s="24"/>
      <c r="E958" s="46"/>
      <c r="F958" s="24"/>
      <c r="G958" s="46"/>
      <c r="H958" s="5"/>
      <c r="K958" s="20"/>
      <c r="O958" s="46"/>
      <c r="S958" s="46"/>
    </row>
    <row r="959" spans="3:21" ht="14.25" customHeight="1" x14ac:dyDescent="0.25">
      <c r="C959" s="24"/>
      <c r="D959" s="47"/>
      <c r="E959" s="47"/>
      <c r="F959" s="47"/>
      <c r="G959" s="46"/>
      <c r="H959" s="5"/>
      <c r="K959" s="20"/>
      <c r="O959" s="46"/>
      <c r="S959" s="46"/>
    </row>
    <row r="960" spans="3:21" ht="14.25" customHeight="1" x14ac:dyDescent="0.25">
      <c r="C960" s="24"/>
      <c r="D960" s="46"/>
      <c r="E960" s="46"/>
      <c r="F960" s="46"/>
      <c r="G960" s="46"/>
      <c r="H960" s="46"/>
      <c r="I960" s="20"/>
      <c r="J960" s="46"/>
      <c r="K960" s="20"/>
      <c r="L960" s="46"/>
      <c r="M960" s="20"/>
      <c r="N960" s="48"/>
    </row>
    <row r="961" spans="1:35" s="8" customFormat="1" x14ac:dyDescent="0.25">
      <c r="B961" s="343" t="str">
        <f>TITLE!$C$26</f>
        <v>Дверна коробка ECO-FIT</v>
      </c>
      <c r="C961" s="321"/>
      <c r="D961" s="93"/>
      <c r="E961" s="93"/>
      <c r="F961" s="93"/>
      <c r="G961" s="93"/>
      <c r="H961" s="93"/>
      <c r="I961" s="94"/>
      <c r="J961" s="94"/>
      <c r="K961" s="94"/>
      <c r="L961" s="322"/>
      <c r="M961" s="322"/>
      <c r="N961" s="322"/>
      <c r="O961" s="322"/>
      <c r="P961" s="323" t="str">
        <f>IF($C$1="ENG",CONCATENATE("up to: ",B895),CONCATENATE("вгору до: ",B895))</f>
        <v>вгору до: Дверна коробка CLASSIC</v>
      </c>
      <c r="Q961" s="323"/>
      <c r="R961" s="323"/>
      <c r="S961" s="323"/>
    </row>
    <row r="962" spans="1:35" s="8" customFormat="1" ht="5.0999999999999996" customHeight="1" x14ac:dyDescent="0.25">
      <c r="B962" s="107"/>
      <c r="C962" s="92"/>
      <c r="D962" s="9"/>
      <c r="E962" s="9"/>
      <c r="F962" s="10"/>
      <c r="G962" s="10"/>
      <c r="H962" s="10"/>
      <c r="P962" s="89"/>
      <c r="Q962" s="89"/>
      <c r="R962" s="89"/>
      <c r="S962" s="89"/>
    </row>
    <row r="963" spans="1:35" ht="12.75" customHeight="1" x14ac:dyDescent="0.25">
      <c r="A963" s="8"/>
      <c r="B963" s="345" t="str">
        <f>IF($C$1="ENG","model","модель")</f>
        <v>модель</v>
      </c>
      <c r="C963" s="95" t="str">
        <f>IF($C$1="ENG","cover:","покриття:")</f>
        <v>покриття:</v>
      </c>
      <c r="D963" s="327" t="str">
        <f>IF($C$1="ENG","ECO-CELL","ECO-CELL")</f>
        <v>ECO-CELL</v>
      </c>
      <c r="E963" s="338"/>
      <c r="F963" s="338"/>
      <c r="G963" s="328"/>
      <c r="H963" s="327" t="str">
        <f>IF($C$1="ENG","ECO-RESIST","ECO-RESIST")</f>
        <v>ECO-RESIST</v>
      </c>
      <c r="I963" s="338"/>
      <c r="J963" s="338"/>
      <c r="K963" s="328"/>
      <c r="L963" s="35"/>
      <c r="M963" s="35"/>
      <c r="N963" s="35"/>
      <c r="O963" s="35"/>
      <c r="P963" s="35"/>
      <c r="Q963" s="35"/>
      <c r="R963" s="35"/>
      <c r="S963" s="35"/>
    </row>
    <row r="964" spans="1:35" ht="12.75" customHeight="1" x14ac:dyDescent="0.25">
      <c r="A964" s="8"/>
      <c r="B964" s="346"/>
      <c r="C964" s="97" t="str">
        <f>IF($C$1="ENG","type:","виконання:")</f>
        <v>виконання:</v>
      </c>
      <c r="D964" s="331" t="str">
        <f>IF($C$1="ENG","single leaf","одностулкове")</f>
        <v>одностулкове</v>
      </c>
      <c r="E964" s="339"/>
      <c r="F964" s="340" t="str">
        <f>IF($C$1="ENG","double leaf","двостулкові")</f>
        <v>двостулкові</v>
      </c>
      <c r="G964" s="332"/>
      <c r="H964" s="331" t="str">
        <f>IF($C$1="ENG","single leaf","одностулкове")</f>
        <v>одностулкове</v>
      </c>
      <c r="I964" s="339"/>
      <c r="J964" s="340" t="str">
        <f>IF($C$1="ENG","double leaf","двостулкові")</f>
        <v>двостулкові</v>
      </c>
      <c r="K964" s="332"/>
      <c r="L964" s="36"/>
      <c r="M964" s="36"/>
      <c r="N964" s="36"/>
      <c r="O964" s="36"/>
      <c r="P964" s="36"/>
      <c r="Q964" s="36"/>
      <c r="R964" s="36"/>
      <c r="S964" s="36"/>
    </row>
    <row r="965" spans="1:35" ht="12.75" customHeight="1" x14ac:dyDescent="0.25">
      <c r="A965" s="8"/>
      <c r="B965" s="13" t="str">
        <f>IF($C$1="ENG","A (75 - 95 mm)","A (75 - 95 мм)")</f>
        <v>A (75 - 95 мм)</v>
      </c>
      <c r="C965" s="113"/>
      <c r="D965" s="15">
        <f t="shared" ref="D965:D974" si="60">IF(U965="","",(1-$S$2)*(U965/1.2))</f>
        <v>2858.3333333333335</v>
      </c>
      <c r="E965" s="195">
        <f t="shared" ref="E965:E974" si="61">IF($S$5=0.2,D965*1.2,D965)/$S$4</f>
        <v>3430</v>
      </c>
      <c r="F965" s="198">
        <f t="shared" ref="F965:F974" si="62">IF(V965="","",(1-$S$2)*(V965/1.2))</f>
        <v>3991.666666666667</v>
      </c>
      <c r="G965" s="54">
        <f t="shared" ref="G965:G974" si="63">IF($S$5=0.2,F965*1.2,F965)/$S$4</f>
        <v>4790</v>
      </c>
      <c r="H965" s="15">
        <f>IF(W965="","",(1-$S$2)*(W965/1.2))</f>
        <v>3416.666666666667</v>
      </c>
      <c r="I965" s="195">
        <f>IF($S$5=0.2,H965*1.2,H965)/$S$4</f>
        <v>4100</v>
      </c>
      <c r="J965" s="198">
        <f>IF(X965="","",(1-$S$2)*(X965/1.2))</f>
        <v>4783.3333333333339</v>
      </c>
      <c r="K965" s="54">
        <f>IF($S$5=0.2,J965*1.2,J965)/$S$4</f>
        <v>5740.0000000000009</v>
      </c>
      <c r="L965" s="26"/>
      <c r="M965" s="49"/>
      <c r="N965" s="26"/>
      <c r="O965" s="49"/>
      <c r="P965" s="26"/>
      <c r="Q965" s="49"/>
      <c r="R965" s="26"/>
      <c r="S965" s="49"/>
      <c r="U965" s="313">
        <v>3430</v>
      </c>
      <c r="V965" s="313">
        <v>4790</v>
      </c>
      <c r="W965" s="313">
        <v>4100</v>
      </c>
      <c r="X965" s="313">
        <v>5740</v>
      </c>
      <c r="Y965" s="286"/>
      <c r="Z965" s="286"/>
      <c r="AA965" s="286"/>
      <c r="AB965" s="286"/>
      <c r="AC965" s="288"/>
      <c r="AI965" s="20"/>
    </row>
    <row r="966" spans="1:35" x14ac:dyDescent="0.25">
      <c r="A966" s="8"/>
      <c r="B966" s="16" t="str">
        <f>IF($C$1="ENG","B (95 - 115 mm)","B (95 - 115 мм)")</f>
        <v>B (95 - 115 мм)</v>
      </c>
      <c r="C966" s="114"/>
      <c r="D966" s="18">
        <f t="shared" si="60"/>
        <v>3025</v>
      </c>
      <c r="E966" s="196">
        <f t="shared" si="61"/>
        <v>3630</v>
      </c>
      <c r="F966" s="199">
        <f t="shared" si="62"/>
        <v>4233.3333333333339</v>
      </c>
      <c r="G966" s="56">
        <f t="shared" si="63"/>
        <v>5080.0000000000009</v>
      </c>
      <c r="H966" s="15">
        <f t="shared" ref="H966:H974" si="64">IF(W966="","",(1-$S$2)*(W966/1.2))</f>
        <v>3641.666666666667</v>
      </c>
      <c r="I966" s="196">
        <f>IF($S$5=0.2,H966*1.2,H966)/$S$4</f>
        <v>4370</v>
      </c>
      <c r="J966" s="198">
        <f t="shared" ref="J966:J973" si="65">IF(X966="","",(1-$S$2)*(X966/1.2))</f>
        <v>5091.666666666667</v>
      </c>
      <c r="K966" s="56">
        <f>IF($S$5=0.2,J966*1.2,J966)/$S$4</f>
        <v>6110</v>
      </c>
      <c r="L966" s="26"/>
      <c r="M966" s="49"/>
      <c r="N966" s="26"/>
      <c r="O966" s="49"/>
      <c r="P966" s="26"/>
      <c r="Q966" s="49"/>
      <c r="R966" s="26"/>
      <c r="S966" s="49"/>
      <c r="U966" s="313">
        <v>3630</v>
      </c>
      <c r="V966" s="313">
        <v>5080</v>
      </c>
      <c r="W966" s="313">
        <v>4370</v>
      </c>
      <c r="X966" s="313">
        <v>6110</v>
      </c>
      <c r="Y966" s="286"/>
      <c r="Z966" s="286"/>
      <c r="AA966" s="286"/>
      <c r="AB966" s="286"/>
      <c r="AC966" s="288"/>
      <c r="AI966" s="20"/>
    </row>
    <row r="967" spans="1:35" x14ac:dyDescent="0.25">
      <c r="A967" s="8"/>
      <c r="B967" s="16" t="str">
        <f>IF($C$1="ENG","B+ (100 - 120 mm)","B+ (100 - 120 мм)")</f>
        <v>B+ (100 - 120 мм)</v>
      </c>
      <c r="C967" s="114"/>
      <c r="D967" s="18">
        <f t="shared" si="60"/>
        <v>3141.666666666667</v>
      </c>
      <c r="E967" s="196">
        <f>IF($S$5=0.2,D967*1.2,D967)/$S$4</f>
        <v>3770</v>
      </c>
      <c r="F967" s="199">
        <f>IF(V967="","",(1-$S$2)*(V967/1.2))</f>
        <v>4400</v>
      </c>
      <c r="G967" s="56">
        <f>IF($S$5=0.2,F967*1.2,F967)/$S$4</f>
        <v>5280</v>
      </c>
      <c r="H967" s="15">
        <f t="shared" si="64"/>
        <v>3750</v>
      </c>
      <c r="I967" s="196">
        <f>IF($S$5=0.2,H967*1.2,H967)/$S$4</f>
        <v>4500</v>
      </c>
      <c r="J967" s="198">
        <f t="shared" si="65"/>
        <v>5241.666666666667</v>
      </c>
      <c r="K967" s="56">
        <f>IF($S$5=0.2,J967*1.2,J967)/$S$4</f>
        <v>6290</v>
      </c>
      <c r="L967" s="26"/>
      <c r="M967" s="49"/>
      <c r="N967" s="26"/>
      <c r="O967" s="49"/>
      <c r="P967" s="26"/>
      <c r="Q967" s="49"/>
      <c r="R967" s="26"/>
      <c r="S967" s="49"/>
      <c r="U967" s="313">
        <v>3770</v>
      </c>
      <c r="V967" s="313">
        <v>5280</v>
      </c>
      <c r="W967" s="313">
        <v>4500</v>
      </c>
      <c r="X967" s="313">
        <v>6290</v>
      </c>
      <c r="Y967" s="286"/>
      <c r="Z967" s="286"/>
      <c r="AA967" s="286"/>
      <c r="AB967" s="286"/>
      <c r="AC967" s="288"/>
      <c r="AI967" s="20"/>
    </row>
    <row r="968" spans="1:35" x14ac:dyDescent="0.25">
      <c r="A968" s="8"/>
      <c r="B968" s="16" t="str">
        <f>IF($C$1="ENG","C (120 - 140 mm)","C (120 - 140 мм)")</f>
        <v>C (120 - 140 мм)</v>
      </c>
      <c r="C968" s="114"/>
      <c r="D968" s="18">
        <f t="shared" si="60"/>
        <v>3233.3333333333335</v>
      </c>
      <c r="E968" s="196">
        <f t="shared" si="61"/>
        <v>3880</v>
      </c>
      <c r="F968" s="199">
        <f t="shared" si="62"/>
        <v>4525</v>
      </c>
      <c r="G968" s="56">
        <f t="shared" si="63"/>
        <v>5430</v>
      </c>
      <c r="H968" s="15">
        <f t="shared" si="64"/>
        <v>3833.3333333333335</v>
      </c>
      <c r="I968" s="196">
        <f t="shared" ref="I968:I974" si="66">IF($S$5=0.2,H968*1.2,H968)/$S$4</f>
        <v>4600</v>
      </c>
      <c r="J968" s="198">
        <f t="shared" si="65"/>
        <v>5375</v>
      </c>
      <c r="K968" s="56">
        <f t="shared" ref="K968:K974" si="67">IF($S$5=0.2,J968*1.2,J968)/$S$4</f>
        <v>6450</v>
      </c>
      <c r="L968" s="26"/>
      <c r="M968" s="49"/>
      <c r="N968" s="26"/>
      <c r="O968" s="49"/>
      <c r="P968" s="26"/>
      <c r="Q968" s="49"/>
      <c r="R968" s="26"/>
      <c r="S968" s="49"/>
      <c r="U968" s="313">
        <v>3880</v>
      </c>
      <c r="V968" s="313">
        <v>5430</v>
      </c>
      <c r="W968" s="313">
        <v>4600</v>
      </c>
      <c r="X968" s="313">
        <v>6450</v>
      </c>
      <c r="Y968" s="286"/>
      <c r="Z968" s="286"/>
      <c r="AA968" s="286"/>
      <c r="AB968" s="286"/>
      <c r="AC968" s="288"/>
      <c r="AI968" s="20"/>
    </row>
    <row r="969" spans="1:35" x14ac:dyDescent="0.25">
      <c r="A969" s="8"/>
      <c r="B969" s="16" t="str">
        <f>IF($C$1="ENG","D (140 - 160 mm)","D (140 - 160 мм)")</f>
        <v>D (140 - 160 мм)</v>
      </c>
      <c r="C969" s="114"/>
      <c r="D969" s="18">
        <f t="shared" si="60"/>
        <v>3400</v>
      </c>
      <c r="E969" s="196">
        <f t="shared" si="61"/>
        <v>4080</v>
      </c>
      <c r="F969" s="199">
        <f t="shared" si="62"/>
        <v>4766.666666666667</v>
      </c>
      <c r="G969" s="56">
        <f t="shared" si="63"/>
        <v>5720</v>
      </c>
      <c r="H969" s="15">
        <f t="shared" si="64"/>
        <v>4050</v>
      </c>
      <c r="I969" s="196">
        <f t="shared" si="66"/>
        <v>4860</v>
      </c>
      <c r="J969" s="198">
        <f t="shared" si="65"/>
        <v>5675</v>
      </c>
      <c r="K969" s="56">
        <f t="shared" si="67"/>
        <v>6810</v>
      </c>
      <c r="L969" s="26"/>
      <c r="M969" s="49"/>
      <c r="N969" s="26"/>
      <c r="O969" s="49"/>
      <c r="P969" s="26"/>
      <c r="Q969" s="49"/>
      <c r="R969" s="26"/>
      <c r="S969" s="49"/>
      <c r="U969" s="313">
        <v>4080</v>
      </c>
      <c r="V969" s="313">
        <v>5720</v>
      </c>
      <c r="W969" s="313">
        <v>4860</v>
      </c>
      <c r="X969" s="313">
        <v>6810</v>
      </c>
      <c r="Y969" s="286"/>
      <c r="Z969" s="286"/>
      <c r="AA969" s="286"/>
      <c r="AB969" s="286"/>
      <c r="AC969" s="288"/>
      <c r="AI969" s="20"/>
    </row>
    <row r="970" spans="1:35" x14ac:dyDescent="0.25">
      <c r="A970" s="8"/>
      <c r="B970" s="16" t="str">
        <f>IF($C$1="ENG","E (160 - 180 mm)","E (160 - 180 мм)")</f>
        <v>E (160 - 180 мм)</v>
      </c>
      <c r="C970" s="114"/>
      <c r="D970" s="18">
        <f t="shared" si="60"/>
        <v>3575</v>
      </c>
      <c r="E970" s="196">
        <f t="shared" si="61"/>
        <v>4290</v>
      </c>
      <c r="F970" s="199">
        <f t="shared" si="62"/>
        <v>5000</v>
      </c>
      <c r="G970" s="56">
        <f t="shared" si="63"/>
        <v>6000</v>
      </c>
      <c r="H970" s="15">
        <f t="shared" si="64"/>
        <v>4241.666666666667</v>
      </c>
      <c r="I970" s="196">
        <f t="shared" si="66"/>
        <v>5090</v>
      </c>
      <c r="J970" s="198">
        <f t="shared" si="65"/>
        <v>5950</v>
      </c>
      <c r="K970" s="56">
        <f t="shared" si="67"/>
        <v>7140</v>
      </c>
      <c r="L970" s="26"/>
      <c r="M970" s="49"/>
      <c r="N970" s="26"/>
      <c r="O970" s="49"/>
      <c r="P970" s="26"/>
      <c r="Q970" s="49"/>
      <c r="R970" s="26"/>
      <c r="S970" s="49"/>
      <c r="U970" s="313">
        <v>4290</v>
      </c>
      <c r="V970" s="313">
        <v>6000</v>
      </c>
      <c r="W970" s="313">
        <v>5090</v>
      </c>
      <c r="X970" s="313">
        <v>7140</v>
      </c>
      <c r="Y970" s="286"/>
      <c r="Z970" s="286"/>
      <c r="AA970" s="286"/>
      <c r="AB970" s="286"/>
      <c r="AC970" s="288"/>
      <c r="AI970" s="20"/>
    </row>
    <row r="971" spans="1:35" x14ac:dyDescent="0.25">
      <c r="A971" s="8"/>
      <c r="B971" s="16" t="str">
        <f>IF($C$1="ENG","F (180 - 200 mm)","F (180 - 200 мм)")</f>
        <v>F (180 - 200 мм)</v>
      </c>
      <c r="C971" s="114"/>
      <c r="D971" s="18">
        <f t="shared" si="60"/>
        <v>3758.3333333333335</v>
      </c>
      <c r="E971" s="196">
        <f t="shared" si="61"/>
        <v>4510</v>
      </c>
      <c r="F971" s="199">
        <f t="shared" si="62"/>
        <v>5258.3333333333339</v>
      </c>
      <c r="G971" s="56">
        <f t="shared" si="63"/>
        <v>6310.0000000000009</v>
      </c>
      <c r="H971" s="15">
        <f t="shared" si="64"/>
        <v>4466.666666666667</v>
      </c>
      <c r="I971" s="196">
        <f t="shared" si="66"/>
        <v>5360</v>
      </c>
      <c r="J971" s="198">
        <f t="shared" si="65"/>
        <v>6250</v>
      </c>
      <c r="K971" s="56">
        <f t="shared" si="67"/>
        <v>7500</v>
      </c>
      <c r="L971" s="26"/>
      <c r="M971" s="49"/>
      <c r="N971" s="26"/>
      <c r="O971" s="49"/>
      <c r="P971" s="26"/>
      <c r="Q971" s="49"/>
      <c r="R971" s="26"/>
      <c r="S971" s="49"/>
      <c r="U971" s="313">
        <v>4510</v>
      </c>
      <c r="V971" s="313">
        <v>6310</v>
      </c>
      <c r="W971" s="313">
        <v>5360</v>
      </c>
      <c r="X971" s="313">
        <v>7500</v>
      </c>
      <c r="Y971" s="286"/>
      <c r="Z971" s="286"/>
      <c r="AA971" s="286"/>
      <c r="AB971" s="286"/>
      <c r="AC971" s="288"/>
      <c r="AI971" s="20"/>
    </row>
    <row r="972" spans="1:35" x14ac:dyDescent="0.25">
      <c r="A972" s="8"/>
      <c r="B972" s="16" t="str">
        <f>IF($C$1="ENG","G (200 - 220 mm)","G (200 - 220 мм)")</f>
        <v>G (200 - 220 мм)</v>
      </c>
      <c r="C972" s="114"/>
      <c r="D972" s="18">
        <f t="shared" si="60"/>
        <v>3933.3333333333335</v>
      </c>
      <c r="E972" s="196">
        <f t="shared" si="61"/>
        <v>4720</v>
      </c>
      <c r="F972" s="199">
        <f t="shared" si="62"/>
        <v>5500</v>
      </c>
      <c r="G972" s="56">
        <f t="shared" si="63"/>
        <v>6600</v>
      </c>
      <c r="H972" s="15">
        <f t="shared" si="64"/>
        <v>4683.3333333333339</v>
      </c>
      <c r="I972" s="196">
        <f t="shared" si="66"/>
        <v>5620.0000000000009</v>
      </c>
      <c r="J972" s="198">
        <f t="shared" si="65"/>
        <v>6558.3333333333339</v>
      </c>
      <c r="K972" s="56">
        <f t="shared" si="67"/>
        <v>7870</v>
      </c>
      <c r="L972" s="26"/>
      <c r="M972" s="49"/>
      <c r="N972" s="26"/>
      <c r="O972" s="49"/>
      <c r="P972" s="26"/>
      <c r="Q972" s="49"/>
      <c r="R972" s="26"/>
      <c r="S972" s="49"/>
      <c r="U972" s="313">
        <v>4720</v>
      </c>
      <c r="V972" s="313">
        <v>6600</v>
      </c>
      <c r="W972" s="313">
        <v>5620</v>
      </c>
      <c r="X972" s="313">
        <v>7870</v>
      </c>
      <c r="Y972" s="286"/>
      <c r="Z972" s="286"/>
      <c r="AA972" s="286"/>
      <c r="AB972" s="286"/>
      <c r="AC972" s="288"/>
      <c r="AI972" s="20"/>
    </row>
    <row r="973" spans="1:35" x14ac:dyDescent="0.25">
      <c r="A973" s="8"/>
      <c r="B973" s="16" t="str">
        <f>IF($C$1="ENG","H (220 - 240 mm)","H (220 - 240 мм)")</f>
        <v>H (220 - 240 мм)</v>
      </c>
      <c r="C973" s="114"/>
      <c r="D973" s="18">
        <f t="shared" si="60"/>
        <v>4108.3333333333339</v>
      </c>
      <c r="E973" s="196">
        <f t="shared" si="61"/>
        <v>4930.0000000000009</v>
      </c>
      <c r="F973" s="199">
        <f t="shared" si="62"/>
        <v>5749.9999999999991</v>
      </c>
      <c r="G973" s="56">
        <f t="shared" si="63"/>
        <v>6899.9999999999991</v>
      </c>
      <c r="H973" s="15">
        <f t="shared" si="64"/>
        <v>4875</v>
      </c>
      <c r="I973" s="196">
        <f t="shared" si="66"/>
        <v>5850</v>
      </c>
      <c r="J973" s="198">
        <f t="shared" si="65"/>
        <v>6825</v>
      </c>
      <c r="K973" s="56">
        <f t="shared" si="67"/>
        <v>8190</v>
      </c>
      <c r="L973" s="26"/>
      <c r="M973" s="49"/>
      <c r="N973" s="26"/>
      <c r="O973" s="49"/>
      <c r="P973" s="26"/>
      <c r="Q973" s="49"/>
      <c r="R973" s="26"/>
      <c r="S973" s="49"/>
      <c r="U973" s="313">
        <v>4930</v>
      </c>
      <c r="V973" s="313">
        <v>6899.9999999999991</v>
      </c>
      <c r="W973" s="313">
        <v>5850</v>
      </c>
      <c r="X973" s="313">
        <v>8190</v>
      </c>
      <c r="Y973" s="286"/>
      <c r="Z973" s="286"/>
      <c r="AA973" s="286"/>
      <c r="AB973" s="286"/>
      <c r="AC973" s="288"/>
      <c r="AI973" s="20"/>
    </row>
    <row r="974" spans="1:35" x14ac:dyDescent="0.25">
      <c r="A974" s="8"/>
      <c r="B974" s="21" t="str">
        <f>IF($C$1="ENG","I (240 - 260 mm)","I (240 - 260 мм)")</f>
        <v>I (240 - 260 мм)</v>
      </c>
      <c r="C974" s="115"/>
      <c r="D974" s="23">
        <f t="shared" si="60"/>
        <v>4300</v>
      </c>
      <c r="E974" s="197">
        <f t="shared" si="61"/>
        <v>5160</v>
      </c>
      <c r="F974" s="200">
        <f t="shared" si="62"/>
        <v>6025</v>
      </c>
      <c r="G974" s="59">
        <f t="shared" si="63"/>
        <v>7230</v>
      </c>
      <c r="H974" s="15">
        <f t="shared" si="64"/>
        <v>5075</v>
      </c>
      <c r="I974" s="197">
        <f t="shared" si="66"/>
        <v>6090</v>
      </c>
      <c r="J974" s="198">
        <f>IF(X974="","",(1-$S$2)*(X974/1.2))</f>
        <v>7116.666666666667</v>
      </c>
      <c r="K974" s="59">
        <f t="shared" si="67"/>
        <v>8540</v>
      </c>
      <c r="L974" s="26"/>
      <c r="M974" s="49"/>
      <c r="N974" s="26"/>
      <c r="O974" s="49"/>
      <c r="P974" s="26"/>
      <c r="Q974" s="49"/>
      <c r="R974" s="26"/>
      <c r="S974" s="49"/>
      <c r="U974" s="313">
        <v>5160</v>
      </c>
      <c r="V974" s="313">
        <v>7230</v>
      </c>
      <c r="W974" s="313">
        <v>6090</v>
      </c>
      <c r="X974" s="313">
        <v>8540</v>
      </c>
      <c r="Y974" s="286"/>
      <c r="Z974" s="286"/>
      <c r="AA974" s="286"/>
      <c r="AB974" s="286"/>
      <c r="AC974" s="288"/>
      <c r="AI974" s="20"/>
    </row>
    <row r="975" spans="1:35" x14ac:dyDescent="0.25">
      <c r="A975" s="8"/>
      <c r="B975" s="274"/>
      <c r="C975" s="289"/>
      <c r="D975" s="76"/>
      <c r="E975" s="290"/>
      <c r="F975" s="76"/>
      <c r="G975" s="290"/>
      <c r="H975" s="76"/>
      <c r="I975" s="290"/>
      <c r="J975" s="76"/>
      <c r="K975" s="290"/>
      <c r="L975" s="26"/>
      <c r="M975" s="49"/>
      <c r="N975" s="26"/>
      <c r="O975" s="49"/>
      <c r="P975" s="26"/>
      <c r="Q975" s="49"/>
      <c r="R975" s="26"/>
      <c r="S975" s="49"/>
      <c r="U975" s="37"/>
      <c r="V975" s="37"/>
      <c r="W975" s="37"/>
      <c r="X975" s="37"/>
      <c r="Y975" s="37"/>
      <c r="Z975" s="37"/>
      <c r="AA975" s="37"/>
      <c r="AB975" s="37"/>
      <c r="AC975" s="288"/>
      <c r="AI975" s="20"/>
    </row>
    <row r="976" spans="1:35" x14ac:dyDescent="0.25">
      <c r="A976" s="8"/>
      <c r="B976" s="343" t="str">
        <f>TITLE!C27</f>
        <v>Дверна коробка ECO-FIT Plus</v>
      </c>
      <c r="C976" s="321"/>
      <c r="D976" s="93"/>
      <c r="E976" s="93"/>
      <c r="F976" s="93"/>
      <c r="G976" s="93"/>
      <c r="H976" s="93"/>
      <c r="I976" s="94"/>
      <c r="J976" s="94"/>
      <c r="K976" s="94"/>
      <c r="L976" s="26"/>
      <c r="M976" s="49"/>
      <c r="N976" s="26"/>
      <c r="O976" s="49"/>
      <c r="P976" s="26"/>
      <c r="Q976" s="49"/>
      <c r="R976" s="26"/>
      <c r="S976" s="49"/>
      <c r="U976" s="37"/>
      <c r="V976" s="37"/>
      <c r="W976" s="37"/>
      <c r="X976" s="37"/>
      <c r="Y976" s="37"/>
      <c r="Z976" s="37"/>
      <c r="AA976" s="37"/>
      <c r="AB976" s="37"/>
      <c r="AC976" s="288"/>
      <c r="AI976" s="20"/>
    </row>
    <row r="977" spans="1:35" x14ac:dyDescent="0.25">
      <c r="A977" s="8"/>
      <c r="B977" s="107"/>
      <c r="C977" s="92"/>
      <c r="D977" s="9"/>
      <c r="E977" s="9"/>
      <c r="F977" s="10"/>
      <c r="G977" s="10"/>
      <c r="H977" s="10"/>
      <c r="I977" s="8"/>
      <c r="J977" s="8"/>
      <c r="K977" s="8"/>
      <c r="L977" s="26"/>
      <c r="M977" s="49"/>
      <c r="N977" s="26"/>
      <c r="O977" s="49"/>
      <c r="P977" s="26"/>
      <c r="Q977" s="49"/>
      <c r="R977" s="26"/>
      <c r="S977" s="49"/>
      <c r="U977" s="37"/>
      <c r="V977" s="37"/>
      <c r="W977" s="37"/>
      <c r="X977" s="37"/>
      <c r="Y977" s="37"/>
      <c r="Z977" s="37"/>
      <c r="AA977" s="37"/>
      <c r="AB977" s="37"/>
      <c r="AC977" s="288"/>
      <c r="AI977" s="20"/>
    </row>
    <row r="978" spans="1:35" x14ac:dyDescent="0.25">
      <c r="A978" s="8"/>
      <c r="B978" s="345" t="str">
        <f>IF($C$1="ENG","model","модель")</f>
        <v>модель</v>
      </c>
      <c r="C978" s="95" t="str">
        <f>IF($C$1="ENG","cover:","покриття:")</f>
        <v>покриття:</v>
      </c>
      <c r="D978" s="327" t="str">
        <f>IF($C$1="ENG","ECO-CELL","ECO-CELL")</f>
        <v>ECO-CELL</v>
      </c>
      <c r="E978" s="338"/>
      <c r="F978" s="338"/>
      <c r="G978" s="328"/>
      <c r="H978" s="327" t="str">
        <f>IF($C$1="ENG","ECO-RESIST","ECO-RESIST")</f>
        <v>ECO-RESIST</v>
      </c>
      <c r="I978" s="338"/>
      <c r="J978" s="338"/>
      <c r="K978" s="328"/>
      <c r="L978" s="26"/>
      <c r="M978" s="49"/>
      <c r="N978" s="26"/>
      <c r="O978" s="49"/>
      <c r="P978" s="26"/>
      <c r="Q978" s="49"/>
      <c r="R978" s="26"/>
      <c r="S978" s="49"/>
      <c r="U978" s="37"/>
      <c r="V978" s="37"/>
      <c r="W978" s="37"/>
      <c r="X978" s="37"/>
      <c r="Y978" s="37"/>
      <c r="Z978" s="37"/>
      <c r="AA978" s="37"/>
      <c r="AB978" s="37"/>
      <c r="AC978" s="288"/>
      <c r="AI978" s="20"/>
    </row>
    <row r="979" spans="1:35" x14ac:dyDescent="0.25">
      <c r="A979" s="8"/>
      <c r="B979" s="346"/>
      <c r="C979" s="97" t="str">
        <f>IF($C$1="ENG","type:","виконання:")</f>
        <v>виконання:</v>
      </c>
      <c r="D979" s="331" t="str">
        <f>IF($C$1="ENG","single leaf","одностулкове")</f>
        <v>одностулкове</v>
      </c>
      <c r="E979" s="339"/>
      <c r="F979" s="340" t="str">
        <f>IF($C$1="ENG","double leaf","двостулкові")</f>
        <v>двостулкові</v>
      </c>
      <c r="G979" s="332"/>
      <c r="H979" s="331" t="str">
        <f>IF($C$1="ENG","single leaf","одностулкове")</f>
        <v>одностулкове</v>
      </c>
      <c r="I979" s="339"/>
      <c r="J979" s="340" t="str">
        <f>IF($C$1="ENG","double leaf","двостулкові")</f>
        <v>двостулкові</v>
      </c>
      <c r="K979" s="332"/>
      <c r="L979" s="26"/>
      <c r="M979" s="49"/>
      <c r="N979" s="26"/>
      <c r="O979" s="49"/>
      <c r="P979" s="26"/>
      <c r="Q979" s="49"/>
      <c r="R979" s="26"/>
      <c r="S979" s="49"/>
      <c r="U979" s="37"/>
      <c r="V979" s="37"/>
      <c r="W979" s="37"/>
      <c r="X979" s="37"/>
      <c r="Y979" s="37"/>
      <c r="Z979" s="37"/>
      <c r="AA979" s="37"/>
      <c r="AB979" s="37"/>
      <c r="AC979" s="288"/>
      <c r="AI979" s="20"/>
    </row>
    <row r="980" spans="1:35" x14ac:dyDescent="0.25">
      <c r="A980" s="8"/>
      <c r="B980" s="13" t="str">
        <f>IF($C$1="ENG","A (75 - 95 mm)","A (75 - 95 мм)")</f>
        <v>A (75 - 95 мм)</v>
      </c>
      <c r="C980" s="113"/>
      <c r="D980" s="15">
        <f>IF(U980="","",(1-$S$2)*(U980/1.2))</f>
        <v>3183.3333333333335</v>
      </c>
      <c r="E980" s="195">
        <f>IF($S$5=0.2,D980*1.2,D980)/$S$4</f>
        <v>3820</v>
      </c>
      <c r="F980" s="198">
        <f>IF(V980="","",(1-$S$2)*(V980/1.2))</f>
        <v>4466.666666666667</v>
      </c>
      <c r="G980" s="54">
        <f>IF($S$5=0.2,F980*1.2,F980)/$S$4</f>
        <v>5360</v>
      </c>
      <c r="H980" s="15">
        <f t="shared" ref="H980:H989" si="68">IF(W980="","",(1-$S$2)*(W980/1.2))</f>
        <v>3891.666666666667</v>
      </c>
      <c r="I980" s="195">
        <f>IF($S$5=0.2,H980*1.2,H980)/$S$4</f>
        <v>4670</v>
      </c>
      <c r="J980" s="198">
        <f>IF(X980="","",(1-$S$2)*(X980/1.2))</f>
        <v>5450</v>
      </c>
      <c r="K980" s="54">
        <f>IF($S$5=0.2,J980*1.2,J980)/$S$4</f>
        <v>6540</v>
      </c>
      <c r="L980" s="26"/>
      <c r="M980" s="49"/>
      <c r="N980" s="26"/>
      <c r="O980" s="49"/>
      <c r="P980" s="26"/>
      <c r="Q980" s="49"/>
      <c r="R980" s="26"/>
      <c r="S980" s="49"/>
      <c r="U980" s="314">
        <v>3820</v>
      </c>
      <c r="V980" s="314">
        <v>5360</v>
      </c>
      <c r="W980" s="314">
        <v>4670</v>
      </c>
      <c r="X980" s="314">
        <v>6540</v>
      </c>
      <c r="Y980" s="286"/>
      <c r="Z980" s="286"/>
      <c r="AA980" s="286"/>
      <c r="AB980" s="286"/>
      <c r="AC980" s="288"/>
      <c r="AI980" s="20"/>
    </row>
    <row r="981" spans="1:35" x14ac:dyDescent="0.25">
      <c r="A981" s="8"/>
      <c r="B981" s="16" t="str">
        <f>IF($C$1="ENG","B (95 - 115 mm)","B (95 - 115 мм)")</f>
        <v>B (95 - 115 мм)</v>
      </c>
      <c r="C981" s="114"/>
      <c r="D981" s="18">
        <f>IF(U981="","",(1-$S$2)*(U981/1.2))</f>
        <v>3350</v>
      </c>
      <c r="E981" s="196">
        <f>IF($S$5=0.2,D981*1.2,D981)/$S$4</f>
        <v>4020</v>
      </c>
      <c r="F981" s="199">
        <f>IF(V981="","",(1-$S$2)*(V981/1.2))</f>
        <v>4691.666666666667</v>
      </c>
      <c r="G981" s="56">
        <f>IF($S$5=0.2,F981*1.2,F981)/$S$4</f>
        <v>5630</v>
      </c>
      <c r="H981" s="15">
        <f t="shared" si="68"/>
        <v>4091.666666666667</v>
      </c>
      <c r="I981" s="196">
        <f>IF($S$5=0.2,H981*1.2,H981)/$S$4</f>
        <v>4910</v>
      </c>
      <c r="J981" s="198">
        <f t="shared" ref="J981:J989" si="69">IF(X981="","",(1-$S$2)*(X981/1.2))</f>
        <v>5733.3333333333339</v>
      </c>
      <c r="K981" s="56">
        <f>IF($S$5=0.2,J981*1.2,J981)/$S$4</f>
        <v>6880.0000000000009</v>
      </c>
      <c r="L981" s="26"/>
      <c r="M981" s="49"/>
      <c r="N981" s="26"/>
      <c r="O981" s="49"/>
      <c r="P981" s="26"/>
      <c r="Q981" s="49"/>
      <c r="R981" s="26"/>
      <c r="S981" s="49"/>
      <c r="U981" s="314">
        <v>4020</v>
      </c>
      <c r="V981" s="314">
        <v>5630</v>
      </c>
      <c r="W981" s="314">
        <v>4910</v>
      </c>
      <c r="X981" s="314">
        <v>6880</v>
      </c>
      <c r="Y981" s="286"/>
      <c r="Z981" s="286"/>
      <c r="AA981" s="286"/>
      <c r="AB981" s="286"/>
      <c r="AC981" s="288"/>
      <c r="AI981" s="20"/>
    </row>
    <row r="982" spans="1:35" x14ac:dyDescent="0.25">
      <c r="A982" s="8"/>
      <c r="B982" s="16" t="str">
        <f>IF($C$1="ENG","B+ (100 - 120 mm)","B+ (100 - 120 мм)")</f>
        <v>B+ (100 - 120 мм)</v>
      </c>
      <c r="C982" s="114"/>
      <c r="D982" s="18">
        <f>IF(U982="","",(1-$S$2)*(U982/1.2))</f>
        <v>3450</v>
      </c>
      <c r="E982" s="196">
        <f>IF($S$5=0.2,D982*1.2,D982)/$S$4</f>
        <v>4140</v>
      </c>
      <c r="F982" s="199">
        <f>IF(V982="","",(1-$S$2)*(V982/1.2))</f>
        <v>4841.666666666667</v>
      </c>
      <c r="G982" s="56">
        <f>IF($S$5=0.2,F982*1.2,F982)/$S$4</f>
        <v>5810</v>
      </c>
      <c r="H982" s="15">
        <f t="shared" si="68"/>
        <v>4208.3333333333339</v>
      </c>
      <c r="I982" s="196">
        <f>IF($S$5=0.2,H982*1.2,H982)/$S$4</f>
        <v>5050.0000000000009</v>
      </c>
      <c r="J982" s="198">
        <f t="shared" si="69"/>
        <v>5883.3333333333339</v>
      </c>
      <c r="K982" s="56">
        <f>IF($S$5=0.2,J982*1.2,J982)/$S$4</f>
        <v>7060.0000000000009</v>
      </c>
      <c r="L982" s="26"/>
      <c r="M982" s="49"/>
      <c r="N982" s="26"/>
      <c r="O982" s="49"/>
      <c r="P982" s="26"/>
      <c r="Q982" s="49"/>
      <c r="R982" s="26"/>
      <c r="S982" s="49"/>
      <c r="U982" s="314">
        <v>4140</v>
      </c>
      <c r="V982" s="314">
        <v>5810</v>
      </c>
      <c r="W982" s="314">
        <v>5050</v>
      </c>
      <c r="X982" s="314">
        <v>7060</v>
      </c>
      <c r="Y982" s="286"/>
      <c r="Z982" s="286"/>
      <c r="AA982" s="286"/>
      <c r="AB982" s="286"/>
      <c r="AC982" s="288"/>
      <c r="AI982" s="20"/>
    </row>
    <row r="983" spans="1:35" x14ac:dyDescent="0.25">
      <c r="A983" s="8"/>
      <c r="B983" s="16" t="str">
        <f>IF($C$1="ENG","C (120 - 140 mm)","C (120 - 140 мм)")</f>
        <v>C (120 - 140 мм)</v>
      </c>
      <c r="C983" s="114"/>
      <c r="D983" s="18">
        <f t="shared" ref="D983:D989" si="70">IF(U983="","",(1-$S$2)*(U983/1.2))</f>
        <v>3533.3333333333335</v>
      </c>
      <c r="E983" s="196">
        <f t="shared" ref="E983:E989" si="71">IF($S$5=0.2,D983*1.2,D983)/$S$4</f>
        <v>4240</v>
      </c>
      <c r="F983" s="199">
        <f t="shared" ref="F983:F989" si="72">IF(V983="","",(1-$S$2)*(V983/1.2))</f>
        <v>4933.3333333333339</v>
      </c>
      <c r="G983" s="56">
        <f t="shared" ref="G983:G989" si="73">IF($S$5=0.2,F983*1.2,F983)/$S$4</f>
        <v>5920.0000000000009</v>
      </c>
      <c r="H983" s="15">
        <f t="shared" si="68"/>
        <v>4300</v>
      </c>
      <c r="I983" s="196">
        <f t="shared" ref="I983:I989" si="74">IF($S$5=0.2,H983*1.2,H983)/$S$4</f>
        <v>5160</v>
      </c>
      <c r="J983" s="198">
        <f t="shared" si="69"/>
        <v>6025</v>
      </c>
      <c r="K983" s="56">
        <f t="shared" ref="K983:K989" si="75">IF($S$5=0.2,J983*1.2,J983)/$S$4</f>
        <v>7230</v>
      </c>
      <c r="L983" s="26"/>
      <c r="M983" s="49"/>
      <c r="N983" s="26"/>
      <c r="O983" s="49"/>
      <c r="P983" s="26"/>
      <c r="Q983" s="49"/>
      <c r="R983" s="26"/>
      <c r="S983" s="49"/>
      <c r="U983" s="314">
        <v>4240</v>
      </c>
      <c r="V983" s="314">
        <v>5920</v>
      </c>
      <c r="W983" s="314">
        <v>5160</v>
      </c>
      <c r="X983" s="314">
        <v>7230</v>
      </c>
      <c r="Y983" s="286"/>
      <c r="Z983" s="286"/>
      <c r="AA983" s="286"/>
      <c r="AB983" s="286"/>
      <c r="AC983" s="288"/>
      <c r="AI983" s="20"/>
    </row>
    <row r="984" spans="1:35" x14ac:dyDescent="0.25">
      <c r="A984" s="8"/>
      <c r="B984" s="16" t="str">
        <f>IF($C$1="ENG","D (140 - 160 mm)","D (140 - 160 мм)")</f>
        <v>D (140 - 160 мм)</v>
      </c>
      <c r="C984" s="114"/>
      <c r="D984" s="18">
        <f t="shared" si="70"/>
        <v>3725</v>
      </c>
      <c r="E984" s="196">
        <f t="shared" si="71"/>
        <v>4470</v>
      </c>
      <c r="F984" s="199">
        <f t="shared" si="72"/>
        <v>5225</v>
      </c>
      <c r="G984" s="56">
        <f t="shared" si="73"/>
        <v>6270</v>
      </c>
      <c r="H984" s="15">
        <f t="shared" si="68"/>
        <v>4491.666666666667</v>
      </c>
      <c r="I984" s="196">
        <f t="shared" si="74"/>
        <v>5390</v>
      </c>
      <c r="J984" s="198">
        <f t="shared" si="69"/>
        <v>6391.666666666667</v>
      </c>
      <c r="K984" s="56">
        <f t="shared" si="75"/>
        <v>7670</v>
      </c>
      <c r="L984" s="26"/>
      <c r="M984" s="49"/>
      <c r="N984" s="26"/>
      <c r="O984" s="49"/>
      <c r="P984" s="26"/>
      <c r="Q984" s="49"/>
      <c r="R984" s="26"/>
      <c r="S984" s="49"/>
      <c r="U984" s="314">
        <v>4470</v>
      </c>
      <c r="V984" s="314">
        <v>6270</v>
      </c>
      <c r="W984" s="314">
        <v>5390</v>
      </c>
      <c r="X984" s="314">
        <v>7670</v>
      </c>
      <c r="Y984" s="286"/>
      <c r="Z984" s="286"/>
      <c r="AA984" s="286"/>
      <c r="AB984" s="286"/>
      <c r="AC984" s="288"/>
      <c r="AI984" s="20"/>
    </row>
    <row r="985" spans="1:35" x14ac:dyDescent="0.25">
      <c r="A985" s="8"/>
      <c r="B985" s="16" t="str">
        <f>IF($C$1="ENG","E (160 - 180 mm)","E (160 - 180 мм)")</f>
        <v>E (160 - 180 мм)</v>
      </c>
      <c r="C985" s="114"/>
      <c r="D985" s="18">
        <f t="shared" si="70"/>
        <v>3891.666666666667</v>
      </c>
      <c r="E985" s="196">
        <f t="shared" si="71"/>
        <v>4670</v>
      </c>
      <c r="F985" s="199">
        <f t="shared" si="72"/>
        <v>5433.3333333333339</v>
      </c>
      <c r="G985" s="56">
        <f t="shared" si="73"/>
        <v>6520.0000000000009</v>
      </c>
      <c r="H985" s="15">
        <f t="shared" si="68"/>
        <v>4700</v>
      </c>
      <c r="I985" s="196">
        <f t="shared" si="74"/>
        <v>5640</v>
      </c>
      <c r="J985" s="198">
        <f t="shared" si="69"/>
        <v>6583.3333333333339</v>
      </c>
      <c r="K985" s="56">
        <f t="shared" si="75"/>
        <v>7900</v>
      </c>
      <c r="L985" s="26"/>
      <c r="M985" s="49"/>
      <c r="N985" s="26"/>
      <c r="O985" s="49"/>
      <c r="P985" s="26"/>
      <c r="Q985" s="49"/>
      <c r="R985" s="26"/>
      <c r="S985" s="49"/>
      <c r="U985" s="314">
        <v>4670</v>
      </c>
      <c r="V985" s="314">
        <v>6520</v>
      </c>
      <c r="W985" s="314">
        <v>5640</v>
      </c>
      <c r="X985" s="314">
        <v>7900</v>
      </c>
      <c r="Y985" s="286"/>
      <c r="Z985" s="286"/>
      <c r="AA985" s="286"/>
      <c r="AB985" s="286"/>
      <c r="AC985" s="288"/>
      <c r="AI985" s="20"/>
    </row>
    <row r="986" spans="1:35" x14ac:dyDescent="0.25">
      <c r="A986" s="8"/>
      <c r="B986" s="16" t="str">
        <f>IF($C$1="ENG","F (180 - 200 mm)","F (180 - 200 мм)")</f>
        <v>F (180 - 200 мм)</v>
      </c>
      <c r="C986" s="114"/>
      <c r="D986" s="18">
        <f t="shared" si="70"/>
        <v>4083.3333333333335</v>
      </c>
      <c r="E986" s="196">
        <f t="shared" si="71"/>
        <v>4900</v>
      </c>
      <c r="F986" s="199">
        <f t="shared" si="72"/>
        <v>5700</v>
      </c>
      <c r="G986" s="56">
        <f t="shared" si="73"/>
        <v>6840</v>
      </c>
      <c r="H986" s="15">
        <f t="shared" si="68"/>
        <v>4916.666666666667</v>
      </c>
      <c r="I986" s="196">
        <f t="shared" si="74"/>
        <v>5900</v>
      </c>
      <c r="J986" s="198">
        <f t="shared" si="69"/>
        <v>6891.666666666667</v>
      </c>
      <c r="K986" s="56">
        <f t="shared" si="75"/>
        <v>8270</v>
      </c>
      <c r="L986" s="26"/>
      <c r="M986" s="49"/>
      <c r="N986" s="26"/>
      <c r="O986" s="49"/>
      <c r="P986" s="26"/>
      <c r="Q986" s="49"/>
      <c r="R986" s="26"/>
      <c r="S986" s="49"/>
      <c r="U986" s="314">
        <v>4900</v>
      </c>
      <c r="V986" s="314">
        <v>6840</v>
      </c>
      <c r="W986" s="314">
        <v>5900</v>
      </c>
      <c r="X986" s="314">
        <v>8270</v>
      </c>
      <c r="Y986" s="286"/>
      <c r="Z986" s="286"/>
      <c r="AA986" s="286"/>
      <c r="AB986" s="286"/>
      <c r="AC986" s="288"/>
      <c r="AI986" s="20"/>
    </row>
    <row r="987" spans="1:35" x14ac:dyDescent="0.25">
      <c r="A987" s="8"/>
      <c r="B987" s="16" t="str">
        <f>IF($C$1="ENG","G (200 - 220 mm)","G (200 - 220 мм)")</f>
        <v>G (200 - 220 мм)</v>
      </c>
      <c r="C987" s="114"/>
      <c r="D987" s="18">
        <f t="shared" si="70"/>
        <v>4241.666666666667</v>
      </c>
      <c r="E987" s="196">
        <f t="shared" si="71"/>
        <v>5090</v>
      </c>
      <c r="F987" s="199">
        <f t="shared" si="72"/>
        <v>5941.6666666666661</v>
      </c>
      <c r="G987" s="56">
        <f t="shared" si="73"/>
        <v>7129.9999999999991</v>
      </c>
      <c r="H987" s="15">
        <f t="shared" si="68"/>
        <v>5116.666666666667</v>
      </c>
      <c r="I987" s="196">
        <f t="shared" si="74"/>
        <v>6140</v>
      </c>
      <c r="J987" s="198">
        <f t="shared" si="69"/>
        <v>7158.3333333333339</v>
      </c>
      <c r="K987" s="56">
        <f t="shared" si="75"/>
        <v>8590</v>
      </c>
      <c r="L987" s="26"/>
      <c r="M987" s="49"/>
      <c r="N987" s="26"/>
      <c r="O987" s="49"/>
      <c r="P987" s="26"/>
      <c r="Q987" s="49"/>
      <c r="R987" s="26"/>
      <c r="S987" s="49"/>
      <c r="U987" s="314">
        <v>5090</v>
      </c>
      <c r="V987" s="314">
        <v>7129.9999999999991</v>
      </c>
      <c r="W987" s="314">
        <v>6140</v>
      </c>
      <c r="X987" s="314">
        <v>8590</v>
      </c>
      <c r="Y987" s="286"/>
      <c r="Z987" s="286"/>
      <c r="AA987" s="286"/>
      <c r="AB987" s="286"/>
      <c r="AC987" s="288"/>
      <c r="AI987" s="20"/>
    </row>
    <row r="988" spans="1:35" x14ac:dyDescent="0.25">
      <c r="A988" s="8"/>
      <c r="B988" s="16" t="str">
        <f>IF($C$1="ENG","H (220 - 240 mm)","H (220 - 240 мм)")</f>
        <v>H (220 - 240 мм)</v>
      </c>
      <c r="C988" s="114"/>
      <c r="D988" s="18">
        <f t="shared" si="70"/>
        <v>4416.666666666667</v>
      </c>
      <c r="E988" s="196">
        <f t="shared" si="71"/>
        <v>5300</v>
      </c>
      <c r="F988" s="199">
        <f t="shared" si="72"/>
        <v>6183.3333333333339</v>
      </c>
      <c r="G988" s="56">
        <f t="shared" si="73"/>
        <v>7420</v>
      </c>
      <c r="H988" s="15">
        <f t="shared" si="68"/>
        <v>5316.666666666667</v>
      </c>
      <c r="I988" s="196">
        <f t="shared" si="74"/>
        <v>6380</v>
      </c>
      <c r="J988" s="198">
        <f t="shared" si="69"/>
        <v>7450</v>
      </c>
      <c r="K988" s="56">
        <f t="shared" si="75"/>
        <v>8940</v>
      </c>
      <c r="L988" s="26"/>
      <c r="M988" s="49"/>
      <c r="N988" s="26"/>
      <c r="O988" s="49"/>
      <c r="P988" s="26"/>
      <c r="Q988" s="49"/>
      <c r="R988" s="26"/>
      <c r="S988" s="49"/>
      <c r="U988" s="314">
        <v>5300</v>
      </c>
      <c r="V988" s="314">
        <v>7420</v>
      </c>
      <c r="W988" s="314">
        <v>6380</v>
      </c>
      <c r="X988" s="314">
        <v>8940</v>
      </c>
      <c r="Y988" s="286"/>
      <c r="Z988" s="286"/>
      <c r="AA988" s="286"/>
      <c r="AB988" s="286"/>
      <c r="AC988" s="288"/>
      <c r="AI988" s="20"/>
    </row>
    <row r="989" spans="1:35" x14ac:dyDescent="0.25">
      <c r="A989" s="8"/>
      <c r="B989" s="21" t="str">
        <f>IF($C$1="ENG","I (240 - 260 mm)","I (240 - 260 мм)")</f>
        <v>I (240 - 260 мм)</v>
      </c>
      <c r="C989" s="115"/>
      <c r="D989" s="23">
        <f t="shared" si="70"/>
        <v>4600</v>
      </c>
      <c r="E989" s="197">
        <f t="shared" si="71"/>
        <v>5520</v>
      </c>
      <c r="F989" s="200">
        <f t="shared" si="72"/>
        <v>6450</v>
      </c>
      <c r="G989" s="59">
        <f t="shared" si="73"/>
        <v>7740</v>
      </c>
      <c r="H989" s="15">
        <f t="shared" si="68"/>
        <v>5508.3333333333339</v>
      </c>
      <c r="I989" s="197">
        <f t="shared" si="74"/>
        <v>6610.0000000000009</v>
      </c>
      <c r="J989" s="198">
        <f t="shared" si="69"/>
        <v>7725</v>
      </c>
      <c r="K989" s="59">
        <f t="shared" si="75"/>
        <v>9270</v>
      </c>
      <c r="L989" s="26"/>
      <c r="M989" s="49"/>
      <c r="N989" s="26"/>
      <c r="O989" s="49"/>
      <c r="P989" s="26"/>
      <c r="Q989" s="49"/>
      <c r="R989" s="26"/>
      <c r="S989" s="49"/>
      <c r="U989" s="314">
        <v>5520</v>
      </c>
      <c r="V989" s="314">
        <v>7740</v>
      </c>
      <c r="W989" s="314">
        <v>6610</v>
      </c>
      <c r="X989" s="314">
        <v>9270</v>
      </c>
      <c r="Y989" s="286"/>
      <c r="Z989" s="286"/>
      <c r="AA989" s="286"/>
      <c r="AB989" s="286"/>
      <c r="AC989" s="288"/>
      <c r="AI989" s="20"/>
    </row>
    <row r="990" spans="1:35" x14ac:dyDescent="0.25">
      <c r="A990" s="8"/>
      <c r="B990" s="274"/>
      <c r="C990" s="289"/>
      <c r="D990" s="76"/>
      <c r="E990" s="290"/>
      <c r="F990" s="76"/>
      <c r="G990" s="290"/>
      <c r="H990" s="76"/>
      <c r="I990" s="290"/>
      <c r="J990" s="76"/>
      <c r="K990" s="290"/>
      <c r="L990" s="26"/>
      <c r="M990" s="49"/>
      <c r="N990" s="26"/>
      <c r="O990" s="49"/>
      <c r="P990" s="26"/>
      <c r="Q990" s="49"/>
      <c r="R990" s="26"/>
      <c r="S990" s="49"/>
      <c r="U990" s="37"/>
      <c r="V990" s="37"/>
      <c r="W990" s="37"/>
      <c r="X990" s="37"/>
      <c r="Y990" s="37"/>
      <c r="Z990" s="37"/>
      <c r="AA990" s="37"/>
      <c r="AB990" s="37"/>
      <c r="AC990" s="288"/>
      <c r="AI990" s="20"/>
    </row>
    <row r="991" spans="1:35" x14ac:dyDescent="0.25">
      <c r="A991" s="8"/>
      <c r="B991" s="274"/>
      <c r="C991" s="289"/>
      <c r="D991" s="76"/>
      <c r="E991" s="290"/>
      <c r="F991" s="76"/>
      <c r="G991" s="290"/>
      <c r="H991" s="76"/>
      <c r="I991" s="290"/>
      <c r="J991" s="76"/>
      <c r="K991" s="290"/>
      <c r="L991" s="26"/>
      <c r="M991" s="49"/>
      <c r="N991" s="26"/>
      <c r="O991" s="49"/>
      <c r="P991" s="26"/>
      <c r="Q991" s="49"/>
      <c r="R991" s="26"/>
      <c r="S991" s="49"/>
      <c r="U991" s="37"/>
      <c r="V991" s="37"/>
      <c r="W991" s="37"/>
      <c r="X991" s="37"/>
      <c r="Y991" s="37"/>
      <c r="Z991" s="37"/>
      <c r="AA991" s="37"/>
      <c r="AB991" s="37"/>
      <c r="AC991" s="288"/>
      <c r="AI991" s="20"/>
    </row>
    <row r="992" spans="1:35" s="37" customFormat="1" ht="24.9" customHeight="1" x14ac:dyDescent="0.25">
      <c r="B992" s="43" t="str">
        <f>IF($C$1="ENG","ADJUSTABLE PANELS","ПЛАНКИ РЕГУЛЮВАЛЬНІ")</f>
        <v>ПЛАНКИ РЕГУЛЮВАЛЬНІ</v>
      </c>
      <c r="C992" s="44"/>
      <c r="D992" s="26" t="str">
        <f>IF(U992="","",(1-$S$2)*(U992/1.2))</f>
        <v/>
      </c>
      <c r="E992" s="49"/>
      <c r="F992" s="26"/>
      <c r="G992" s="49"/>
      <c r="H992" s="26"/>
      <c r="I992" s="49"/>
      <c r="J992" s="26"/>
      <c r="K992" s="49"/>
      <c r="L992" s="26"/>
      <c r="M992" s="82"/>
      <c r="N992" s="26"/>
      <c r="O992" s="27"/>
      <c r="P992" s="111"/>
      <c r="Q992" s="116"/>
      <c r="R992" s="111"/>
      <c r="S992" s="112"/>
      <c r="AI992" s="20"/>
    </row>
    <row r="993" spans="1:35" ht="34.5" customHeight="1" x14ac:dyDescent="0.25">
      <c r="A993" s="8"/>
      <c r="B993" s="177" t="str">
        <f>IF($C$1="ENG","Panel (1 set) 80 mm","Планка (1 к-т) 80 мм")</f>
        <v>Планка (1 к-т) 80 мм</v>
      </c>
      <c r="C993" s="176"/>
      <c r="D993" s="15">
        <f>IF(U993="","",(1-$S$2)*(U993/1.2))</f>
        <v>1016.6666666666667</v>
      </c>
      <c r="E993" s="195">
        <f>IF($S$5=0.2,D993*1.2,D993)/$S$4</f>
        <v>1220</v>
      </c>
      <c r="F993" s="198">
        <f>IF(V993="","",(1-$S$2)*(V993/1.2))</f>
        <v>1325</v>
      </c>
      <c r="G993" s="54">
        <f>IF($S$5=0.2,F993*1.2,F993)/$S$4</f>
        <v>1590</v>
      </c>
      <c r="H993" s="15">
        <f>IF(W993="","",(1-$S$2)*(W993/1.2))</f>
        <v>1233.3333333333335</v>
      </c>
      <c r="I993" s="195">
        <f>IF($S$5=0.2,H993*1.2,H993)/$S$4</f>
        <v>1480.0000000000002</v>
      </c>
      <c r="J993" s="15">
        <f>IF(X993="","",(1-$S$2)*(X993/1.2))</f>
        <v>1616.6666666666667</v>
      </c>
      <c r="K993" s="195">
        <f>IF($S$5=0.2,J993*1.2,J993)/$S$4</f>
        <v>1940</v>
      </c>
      <c r="L993" s="26"/>
      <c r="M993" s="49"/>
      <c r="N993" s="26"/>
      <c r="O993" s="49"/>
      <c r="P993" s="217"/>
      <c r="Q993" s="218"/>
      <c r="R993" s="217"/>
      <c r="S993" s="218"/>
      <c r="U993" s="1">
        <v>1220</v>
      </c>
      <c r="V993" s="1">
        <v>1590</v>
      </c>
      <c r="W993" s="1">
        <v>1480</v>
      </c>
      <c r="X993" s="1">
        <v>1940</v>
      </c>
      <c r="Y993" s="286"/>
      <c r="Z993" s="286"/>
      <c r="AA993" s="286"/>
      <c r="AB993" s="286"/>
      <c r="AC993" s="288"/>
      <c r="AI993" s="20"/>
    </row>
    <row r="994" spans="1:35" ht="34.5" customHeight="1" x14ac:dyDescent="0.25">
      <c r="A994" s="8"/>
      <c r="B994" s="252" t="str">
        <f>IF($C$1="ENG","Panel (1 set) 160 mm","Планка (1 к-т) 160 мм")</f>
        <v>Планка (1 к-т) 160 мм</v>
      </c>
      <c r="C994" s="114"/>
      <c r="D994" s="18">
        <f>IF(U994="","",(1-$S$2)*(U994/1.2))</f>
        <v>1733.3333333333335</v>
      </c>
      <c r="E994" s="196">
        <f>IF($S$5=0.2,D994*1.2,D994)/$S$4</f>
        <v>2080</v>
      </c>
      <c r="F994" s="199">
        <f>IF(V994="","",(1-$S$2)*(V994/1.2))</f>
        <v>2250</v>
      </c>
      <c r="G994" s="56">
        <f>IF($S$5=0.2,F994*1.2,F994)/$S$4</f>
        <v>2700</v>
      </c>
      <c r="H994" s="15">
        <f>IF(W994="","",(1-$S$2)*(W994/1.2))</f>
        <v>2133.3333333333335</v>
      </c>
      <c r="I994" s="196">
        <f>IF($S$5=0.2,H994*1.2,H994)/$S$4</f>
        <v>2560</v>
      </c>
      <c r="J994" s="15">
        <f>IF(X994="","",(1-$S$2)*(X994/1.2))</f>
        <v>2766.666666666667</v>
      </c>
      <c r="K994" s="196">
        <f>IF($S$5=0.2,J994*1.2,J994)/$S$4</f>
        <v>3320.0000000000005</v>
      </c>
      <c r="L994" s="26"/>
      <c r="M994" s="49"/>
      <c r="N994" s="26"/>
      <c r="O994" s="49"/>
      <c r="P994" s="26"/>
      <c r="Q994" s="49"/>
      <c r="R994" s="26"/>
      <c r="S994" s="49"/>
      <c r="U994" s="1">
        <v>2080</v>
      </c>
      <c r="V994" s="1">
        <v>2700</v>
      </c>
      <c r="W994" s="1">
        <v>2560</v>
      </c>
      <c r="X994" s="1">
        <v>3320</v>
      </c>
      <c r="Y994" s="286"/>
      <c r="Z994" s="286"/>
      <c r="AA994" s="286"/>
      <c r="AB994" s="286"/>
      <c r="AC994" s="288"/>
      <c r="AI994" s="20"/>
    </row>
    <row r="995" spans="1:35" ht="34.5" customHeight="1" x14ac:dyDescent="0.25">
      <c r="A995" s="8"/>
      <c r="B995" s="83" t="str">
        <f>IF($C$1="ENG","Panel (1 set) 200 mm","Планка (1 к-т) 200 мм")</f>
        <v>Планка (1 к-т) 200 мм</v>
      </c>
      <c r="C995" s="115"/>
      <c r="D995" s="23">
        <f>IF(U995="","",(1-$S$2)*(U995/1.2))</f>
        <v>2108.3333333333335</v>
      </c>
      <c r="E995" s="197">
        <f>IF($S$5=0.2,D995*1.2,D995)/$S$4</f>
        <v>2530</v>
      </c>
      <c r="F995" s="200">
        <f>IF(V995="","",(1-$S$2)*(V995/1.2))</f>
        <v>2741.666666666667</v>
      </c>
      <c r="G995" s="59">
        <f>IF($S$5=0.2,F995*1.2,F995)/$S$4</f>
        <v>3290.0000000000005</v>
      </c>
      <c r="H995" s="15">
        <f>IF(W995="","",(1-$S$2)*(W995/1.2))</f>
        <v>2616.666666666667</v>
      </c>
      <c r="I995" s="197">
        <f>IF($S$5=0.2,H995*1.2,H995)/$S$4</f>
        <v>3140.0000000000005</v>
      </c>
      <c r="J995" s="15">
        <f>IF(X995="","",(1-$S$2)*(X995/1.2))</f>
        <v>3391.666666666667</v>
      </c>
      <c r="K995" s="197">
        <f>IF($S$5=0.2,J995*1.2,J995)/$S$4</f>
        <v>4070</v>
      </c>
      <c r="L995" s="26"/>
      <c r="M995" s="49"/>
      <c r="N995" s="26"/>
      <c r="O995" s="49"/>
      <c r="P995" s="26"/>
      <c r="Q995" s="49"/>
      <c r="R995" s="26"/>
      <c r="S995" s="49"/>
      <c r="U995" s="1">
        <v>2530</v>
      </c>
      <c r="V995" s="1">
        <v>3290</v>
      </c>
      <c r="W995" s="1">
        <v>3140</v>
      </c>
      <c r="X995" s="1">
        <v>4070</v>
      </c>
      <c r="Y995" s="286"/>
      <c r="Z995" s="286"/>
      <c r="AA995" s="286"/>
      <c r="AB995" s="286"/>
      <c r="AC995" s="288"/>
      <c r="AI995" s="20"/>
    </row>
    <row r="996" spans="1:35" x14ac:dyDescent="0.25">
      <c r="C996" s="24"/>
      <c r="D996" s="24"/>
      <c r="E996" s="46"/>
      <c r="F996" s="24"/>
      <c r="G996" s="46"/>
      <c r="H996" s="5"/>
      <c r="K996" s="20"/>
      <c r="L996" s="37"/>
      <c r="M996" s="82"/>
      <c r="N996" s="37"/>
      <c r="O996" s="37"/>
      <c r="Q996" s="20"/>
      <c r="S996" s="20"/>
    </row>
    <row r="997" spans="1:35" x14ac:dyDescent="0.25">
      <c r="B997" s="155" t="str">
        <f>IF($C$1="ENG","For additonal charge:","Послуги за додаткову плату:")</f>
        <v>Послуги за додаткову плату:</v>
      </c>
      <c r="C997" s="156"/>
      <c r="D997" s="156"/>
      <c r="E997" s="157"/>
      <c r="F997" s="33"/>
      <c r="G997" s="33"/>
      <c r="H997" s="10"/>
      <c r="I997" s="65"/>
      <c r="J997" s="8"/>
      <c r="K997" s="8"/>
      <c r="L997" s="81"/>
      <c r="N997" s="81"/>
      <c r="Q997" s="20"/>
      <c r="S997" s="20"/>
    </row>
    <row r="998" spans="1:35" ht="5.0999999999999996" customHeight="1" x14ac:dyDescent="0.25">
      <c r="B998" s="25"/>
      <c r="C998" s="24"/>
      <c r="D998" s="24"/>
      <c r="E998" s="46"/>
      <c r="F998" s="24"/>
      <c r="G998" s="24"/>
      <c r="H998" s="10"/>
      <c r="I998" s="8"/>
      <c r="J998" s="8"/>
      <c r="K998" s="8"/>
      <c r="Q998" s="20"/>
      <c r="S998" s="20"/>
    </row>
    <row r="999" spans="1:35" x14ac:dyDescent="0.25">
      <c r="B999" s="344"/>
      <c r="C999" s="344"/>
      <c r="D999" s="76"/>
      <c r="E999" s="49"/>
      <c r="F999" s="24"/>
      <c r="G999" s="24"/>
      <c r="H999" s="10"/>
      <c r="I999" s="65"/>
      <c r="J999" s="8"/>
      <c r="K999" s="65"/>
      <c r="Q999" s="20"/>
      <c r="S999" s="20"/>
      <c r="U999" s="286"/>
      <c r="V999" s="286"/>
      <c r="W999" s="286"/>
      <c r="X999" s="286"/>
      <c r="Y999" s="286"/>
      <c r="Z999" s="286"/>
      <c r="AA999" s="286"/>
      <c r="AB999" s="286"/>
    </row>
    <row r="1000" spans="1:35" ht="14.25" customHeight="1" x14ac:dyDescent="0.25">
      <c r="C1000" s="24"/>
      <c r="D1000" s="24"/>
      <c r="E1000" s="24"/>
      <c r="F1000" s="24"/>
      <c r="G1000" s="46"/>
      <c r="H1000" s="5"/>
      <c r="K1000" s="65"/>
      <c r="P1000" s="341" t="str">
        <f>IF($C$1="ENG",CONCATENATE("down to: ",B1050),CONCATENATE("вниз до: ",B1050))</f>
        <v>вниз до: Плінтуси</v>
      </c>
      <c r="Q1000" s="341"/>
      <c r="R1000" s="341"/>
      <c r="S1000" s="341"/>
    </row>
    <row r="1001" spans="1:35" ht="14.25" customHeight="1" x14ac:dyDescent="0.25">
      <c r="C1001" s="24"/>
      <c r="D1001" s="24"/>
      <c r="E1001" s="24"/>
      <c r="F1001" s="24"/>
      <c r="G1001" s="46"/>
      <c r="H1001" s="205"/>
      <c r="K1001" s="46"/>
      <c r="L1001" s="205"/>
      <c r="O1001" s="46"/>
      <c r="P1001" s="205"/>
      <c r="S1001" s="46"/>
    </row>
    <row r="1002" spans="1:35" ht="14.25" customHeight="1" x14ac:dyDescent="0.25">
      <c r="C1002" s="24"/>
      <c r="D1002" s="178"/>
      <c r="F1002" s="178"/>
      <c r="G1002" s="182"/>
      <c r="H1002" s="205"/>
      <c r="I1002" s="182"/>
      <c r="J1002" s="178"/>
      <c r="K1002" s="182"/>
      <c r="L1002" s="205"/>
      <c r="M1002" s="182"/>
      <c r="N1002" s="178"/>
      <c r="O1002" s="182"/>
      <c r="P1002" s="205"/>
      <c r="Q1002" s="182"/>
      <c r="R1002" s="178"/>
      <c r="S1002" s="182"/>
    </row>
    <row r="1003" spans="1:35" ht="14.25" customHeight="1" x14ac:dyDescent="0.25">
      <c r="C1003" s="24"/>
      <c r="D1003" s="178"/>
      <c r="E1003" s="209"/>
      <c r="F1003" s="178"/>
      <c r="G1003" s="182"/>
      <c r="H1003" s="205"/>
      <c r="I1003" s="209"/>
      <c r="J1003" s="178"/>
      <c r="K1003" s="182"/>
      <c r="L1003" s="205"/>
      <c r="M1003" s="209"/>
      <c r="N1003" s="178"/>
      <c r="O1003" s="182"/>
      <c r="P1003" s="205"/>
      <c r="Q1003" s="209"/>
      <c r="R1003" s="178"/>
      <c r="S1003" s="182"/>
    </row>
    <row r="1004" spans="1:35" ht="14.25" customHeight="1" x14ac:dyDescent="0.25">
      <c r="C1004" s="24"/>
      <c r="D1004" s="178"/>
      <c r="E1004" s="182"/>
      <c r="F1004" s="154"/>
      <c r="G1004" s="182"/>
      <c r="H1004" s="205"/>
      <c r="I1004" s="182"/>
      <c r="J1004" s="154"/>
      <c r="K1004" s="182"/>
      <c r="L1004" s="205"/>
      <c r="M1004" s="182"/>
      <c r="N1004" s="154"/>
      <c r="O1004" s="182"/>
      <c r="P1004" s="205"/>
      <c r="Q1004" s="46"/>
      <c r="R1004" s="46"/>
      <c r="S1004" s="182"/>
    </row>
    <row r="1005" spans="1:35" ht="14.25" customHeight="1" x14ac:dyDescent="0.25">
      <c r="C1005" s="24"/>
      <c r="D1005" s="178"/>
      <c r="E1005" s="182"/>
      <c r="F1005" s="154"/>
      <c r="G1005" s="182"/>
      <c r="H1005" s="205"/>
      <c r="I1005" s="182"/>
      <c r="J1005" s="154"/>
      <c r="K1005" s="182"/>
      <c r="L1005" s="205"/>
      <c r="M1005" s="182"/>
      <c r="N1005" s="154"/>
      <c r="O1005" s="182"/>
      <c r="P1005" s="205"/>
      <c r="Q1005" s="182"/>
      <c r="R1005" s="46"/>
      <c r="S1005" s="182"/>
    </row>
    <row r="1006" spans="1:35" ht="14.25" customHeight="1" x14ac:dyDescent="0.25">
      <c r="C1006" s="24"/>
      <c r="D1006" s="178"/>
      <c r="E1006" s="182"/>
      <c r="F1006" s="178"/>
      <c r="G1006" s="182"/>
      <c r="H1006" s="205"/>
      <c r="I1006" s="182"/>
      <c r="J1006" s="178"/>
      <c r="K1006" s="182"/>
      <c r="L1006" s="205"/>
      <c r="M1006" s="182"/>
      <c r="N1006" s="184"/>
      <c r="O1006" s="182"/>
      <c r="P1006" s="205"/>
      <c r="Q1006" s="182"/>
      <c r="R1006" s="46"/>
      <c r="S1006" s="182"/>
    </row>
    <row r="1007" spans="1:35" ht="14.25" customHeight="1" x14ac:dyDescent="0.25">
      <c r="C1007" s="24"/>
      <c r="D1007" s="178"/>
      <c r="E1007" s="182"/>
      <c r="F1007" s="178"/>
      <c r="G1007" s="182"/>
      <c r="H1007" s="205"/>
      <c r="I1007" s="181"/>
      <c r="J1007" s="178"/>
      <c r="K1007" s="182"/>
      <c r="L1007" s="205"/>
      <c r="M1007" s="185"/>
      <c r="N1007" s="184"/>
      <c r="O1007" s="182"/>
      <c r="P1007" s="205"/>
      <c r="Q1007" s="46"/>
      <c r="R1007" s="46"/>
      <c r="S1007" s="182"/>
    </row>
    <row r="1008" spans="1:35" ht="14.25" customHeight="1" x14ac:dyDescent="0.25">
      <c r="C1008" s="24"/>
      <c r="D1008" s="178"/>
      <c r="E1008" s="182"/>
      <c r="F1008" s="178"/>
      <c r="G1008" s="182"/>
      <c r="H1008" s="205"/>
      <c r="I1008" s="181"/>
      <c r="J1008" s="178"/>
      <c r="K1008" s="182"/>
      <c r="L1008" s="205"/>
      <c r="M1008" s="185"/>
      <c r="N1008" s="184"/>
      <c r="O1008" s="182"/>
      <c r="P1008" s="205"/>
      <c r="Q1008" s="46"/>
      <c r="R1008" s="46"/>
      <c r="S1008" s="182"/>
    </row>
    <row r="1009" spans="3:19" ht="14.25" customHeight="1" x14ac:dyDescent="0.25">
      <c r="C1009" s="24"/>
      <c r="D1009" s="178"/>
      <c r="E1009" s="182"/>
      <c r="F1009" s="178"/>
      <c r="G1009" s="182"/>
      <c r="H1009" s="205"/>
      <c r="I1009" s="181"/>
      <c r="J1009" s="178"/>
      <c r="K1009" s="182"/>
      <c r="L1009" s="205"/>
      <c r="M1009" s="185"/>
      <c r="N1009" s="184"/>
      <c r="O1009" s="182"/>
      <c r="P1009" s="205"/>
      <c r="Q1009" s="46"/>
      <c r="R1009" s="46"/>
      <c r="S1009" s="182"/>
    </row>
    <row r="1010" spans="3:19" ht="14.25" customHeight="1" x14ac:dyDescent="0.25">
      <c r="C1010" s="24"/>
      <c r="D1010" s="178"/>
      <c r="E1010" s="182"/>
      <c r="F1010" s="178"/>
      <c r="G1010" s="182"/>
      <c r="H1010" s="178"/>
      <c r="I1010" s="181"/>
      <c r="J1010" s="178"/>
      <c r="K1010" s="182"/>
      <c r="L1010" s="183"/>
      <c r="M1010" s="185"/>
      <c r="N1010" s="184"/>
      <c r="O1010" s="182"/>
      <c r="P1010" s="184"/>
      <c r="Q1010" s="46"/>
      <c r="R1010" s="46"/>
      <c r="S1010" s="182"/>
    </row>
    <row r="1011" spans="3:19" ht="14.25" customHeight="1" x14ac:dyDescent="0.25">
      <c r="C1011" s="24"/>
      <c r="D1011" s="178"/>
      <c r="E1011" s="178"/>
      <c r="F1011" s="178"/>
      <c r="G1011" s="182"/>
      <c r="H1011" s="178"/>
      <c r="I1011" s="179"/>
      <c r="J1011" s="179"/>
      <c r="K1011" s="182"/>
      <c r="L1011" s="179"/>
      <c r="M1011" s="179"/>
      <c r="N1011" s="179"/>
      <c r="O1011" s="182"/>
      <c r="P1011" s="179"/>
      <c r="Q1011" s="46"/>
      <c r="R1011" s="46"/>
      <c r="S1011" s="182"/>
    </row>
    <row r="1012" spans="3:19" ht="14.25" customHeight="1" x14ac:dyDescent="0.25">
      <c r="C1012" s="24"/>
      <c r="D1012" s="178"/>
      <c r="E1012" s="178"/>
      <c r="F1012" s="178"/>
      <c r="G1012" s="182"/>
      <c r="H1012" s="178"/>
      <c r="I1012" s="179"/>
      <c r="J1012" s="178"/>
      <c r="K1012" s="178"/>
      <c r="L1012" s="178"/>
      <c r="M1012" s="179"/>
      <c r="N1012" s="178"/>
      <c r="O1012" s="178"/>
      <c r="P1012" s="178"/>
      <c r="Q1012" s="179"/>
      <c r="R1012" s="178"/>
      <c r="S1012" s="178"/>
    </row>
    <row r="1013" spans="3:19" ht="14.25" customHeight="1" x14ac:dyDescent="0.25">
      <c r="C1013" s="24"/>
      <c r="D1013" s="178"/>
      <c r="E1013" s="178"/>
      <c r="F1013" s="178"/>
      <c r="G1013" s="178"/>
      <c r="H1013" s="178"/>
      <c r="I1013" s="178"/>
      <c r="J1013" s="178"/>
      <c r="K1013" s="178"/>
      <c r="L1013" s="178"/>
      <c r="M1013" s="178"/>
      <c r="N1013" s="178"/>
      <c r="O1013" s="178"/>
      <c r="P1013" s="178"/>
      <c r="Q1013" s="178"/>
      <c r="R1013" s="178"/>
      <c r="S1013" s="178"/>
    </row>
    <row r="1014" spans="3:19" ht="14.25" customHeight="1" x14ac:dyDescent="0.25">
      <c r="C1014" s="24"/>
      <c r="D1014" s="178"/>
      <c r="E1014" s="178"/>
      <c r="F1014" s="178"/>
      <c r="G1014" s="178"/>
      <c r="H1014" s="178"/>
      <c r="I1014" s="178"/>
      <c r="J1014" s="178"/>
      <c r="K1014" s="178"/>
      <c r="L1014" s="178"/>
      <c r="M1014" s="178"/>
      <c r="N1014" s="178"/>
      <c r="O1014" s="178"/>
      <c r="P1014" s="178"/>
      <c r="Q1014" s="178"/>
      <c r="R1014" s="178"/>
      <c r="S1014" s="178"/>
    </row>
    <row r="1015" spans="3:19" ht="14.25" customHeight="1" x14ac:dyDescent="0.25">
      <c r="C1015" s="24"/>
      <c r="D1015" s="178"/>
      <c r="E1015" s="178"/>
      <c r="F1015" s="178"/>
      <c r="G1015" s="178"/>
      <c r="H1015" s="178"/>
      <c r="I1015" s="178"/>
      <c r="J1015" s="178"/>
      <c r="K1015" s="178"/>
      <c r="L1015" s="178"/>
      <c r="M1015" s="178"/>
      <c r="N1015" s="178"/>
      <c r="O1015" s="178"/>
      <c r="P1015" s="178"/>
      <c r="Q1015" s="178"/>
      <c r="R1015" s="178"/>
      <c r="S1015" s="178"/>
    </row>
    <row r="1016" spans="3:19" ht="14.25" customHeight="1" x14ac:dyDescent="0.25">
      <c r="C1016" s="24"/>
      <c r="D1016" s="178"/>
      <c r="E1016" s="178"/>
      <c r="F1016" s="178"/>
      <c r="G1016" s="178"/>
      <c r="H1016" s="178"/>
      <c r="I1016" s="178"/>
      <c r="J1016" s="178"/>
      <c r="K1016" s="178"/>
      <c r="L1016" s="178"/>
      <c r="M1016" s="178"/>
      <c r="N1016" s="178"/>
      <c r="O1016" s="178"/>
      <c r="P1016" s="178"/>
      <c r="Q1016" s="178"/>
      <c r="R1016" s="178"/>
      <c r="S1016" s="178"/>
    </row>
    <row r="1017" spans="3:19" ht="14.25" customHeight="1" x14ac:dyDescent="0.25">
      <c r="C1017" s="24"/>
      <c r="D1017" s="178"/>
      <c r="E1017" s="178"/>
      <c r="F1017" s="178"/>
      <c r="G1017" s="178"/>
      <c r="H1017" s="178"/>
      <c r="I1017" s="178"/>
      <c r="J1017" s="178"/>
      <c r="K1017" s="178"/>
      <c r="L1017" s="178"/>
      <c r="M1017" s="178"/>
      <c r="N1017" s="178"/>
      <c r="O1017" s="178"/>
      <c r="P1017" s="178"/>
      <c r="Q1017" s="178"/>
      <c r="R1017" s="178"/>
      <c r="S1017" s="178"/>
    </row>
    <row r="1018" spans="3:19" ht="14.25" customHeight="1" x14ac:dyDescent="0.25">
      <c r="C1018" s="24"/>
      <c r="D1018" s="178"/>
      <c r="E1018" s="178"/>
      <c r="F1018" s="178"/>
      <c r="G1018" s="178"/>
      <c r="H1018" s="178"/>
      <c r="I1018" s="178"/>
      <c r="J1018" s="178"/>
      <c r="K1018" s="178"/>
      <c r="L1018" s="178"/>
      <c r="M1018" s="178"/>
      <c r="N1018" s="178"/>
      <c r="O1018" s="178"/>
      <c r="P1018" s="178"/>
      <c r="Q1018" s="178"/>
      <c r="R1018" s="178"/>
      <c r="S1018" s="178"/>
    </row>
    <row r="1019" spans="3:19" ht="14.25" customHeight="1" x14ac:dyDescent="0.25">
      <c r="C1019" s="24"/>
      <c r="D1019" s="178"/>
      <c r="E1019" s="178"/>
      <c r="F1019" s="178"/>
      <c r="G1019" s="178"/>
      <c r="H1019" s="178"/>
      <c r="I1019" s="178"/>
      <c r="J1019" s="178"/>
      <c r="K1019" s="178"/>
      <c r="L1019" s="178"/>
      <c r="M1019" s="178"/>
      <c r="N1019" s="178"/>
      <c r="O1019" s="178"/>
      <c r="P1019" s="178"/>
      <c r="Q1019" s="178"/>
      <c r="R1019" s="178"/>
      <c r="S1019" s="178"/>
    </row>
    <row r="1020" spans="3:19" ht="14.25" customHeight="1" x14ac:dyDescent="0.25">
      <c r="C1020" s="24"/>
      <c r="D1020" s="178"/>
      <c r="E1020" s="178"/>
      <c r="F1020" s="178"/>
      <c r="G1020" s="178"/>
      <c r="H1020" s="178"/>
      <c r="I1020" s="178"/>
      <c r="J1020" s="178"/>
      <c r="K1020" s="178"/>
      <c r="L1020" s="178"/>
      <c r="M1020" s="178"/>
      <c r="N1020" s="178"/>
      <c r="O1020" s="178"/>
      <c r="P1020" s="178"/>
      <c r="Q1020" s="178"/>
      <c r="R1020" s="178"/>
      <c r="S1020" s="178"/>
    </row>
    <row r="1021" spans="3:19" ht="14.25" customHeight="1" x14ac:dyDescent="0.25">
      <c r="C1021" s="24"/>
      <c r="D1021" s="178"/>
      <c r="E1021" s="178"/>
      <c r="F1021" s="178"/>
      <c r="G1021" s="178"/>
      <c r="H1021" s="178"/>
      <c r="I1021" s="178"/>
      <c r="J1021" s="178"/>
      <c r="K1021" s="178"/>
      <c r="L1021" s="178"/>
      <c r="M1021" s="178"/>
      <c r="N1021" s="178"/>
      <c r="O1021" s="178"/>
      <c r="P1021" s="178"/>
      <c r="Q1021" s="178"/>
      <c r="R1021" s="178"/>
      <c r="S1021" s="178"/>
    </row>
    <row r="1022" spans="3:19" ht="14.25" customHeight="1" x14ac:dyDescent="0.25">
      <c r="C1022" s="24"/>
      <c r="D1022" s="178"/>
      <c r="E1022" s="178"/>
      <c r="F1022" s="178"/>
      <c r="G1022" s="178"/>
      <c r="H1022" s="178"/>
      <c r="I1022" s="178"/>
      <c r="J1022" s="178"/>
      <c r="K1022" s="178"/>
      <c r="L1022" s="178"/>
      <c r="M1022" s="178"/>
      <c r="N1022" s="178"/>
      <c r="O1022" s="178"/>
      <c r="P1022" s="178"/>
      <c r="Q1022" s="178"/>
      <c r="R1022" s="178"/>
      <c r="S1022" s="178"/>
    </row>
    <row r="1023" spans="3:19" ht="14.25" customHeight="1" x14ac:dyDescent="0.25">
      <c r="C1023" s="24"/>
      <c r="D1023" s="178"/>
      <c r="E1023" s="178"/>
      <c r="F1023" s="178"/>
      <c r="G1023" s="178"/>
      <c r="H1023" s="178"/>
      <c r="I1023" s="178"/>
      <c r="J1023" s="178"/>
      <c r="K1023" s="178"/>
      <c r="L1023" s="178"/>
      <c r="M1023" s="178"/>
      <c r="N1023" s="178"/>
      <c r="O1023" s="178"/>
      <c r="P1023" s="178"/>
      <c r="Q1023" s="178"/>
      <c r="R1023" s="178"/>
      <c r="S1023" s="178"/>
    </row>
    <row r="1024" spans="3:19" ht="14.25" customHeight="1" x14ac:dyDescent="0.25">
      <c r="C1024" s="24"/>
      <c r="D1024" s="178"/>
      <c r="E1024" s="178"/>
      <c r="F1024" s="178"/>
      <c r="G1024" s="178"/>
      <c r="H1024" s="178"/>
      <c r="I1024" s="178"/>
      <c r="J1024" s="178"/>
      <c r="K1024" s="178"/>
      <c r="L1024" s="178"/>
      <c r="M1024" s="178"/>
      <c r="N1024" s="178"/>
      <c r="O1024" s="178"/>
      <c r="P1024" s="178"/>
      <c r="Q1024" s="178"/>
      <c r="R1024" s="178"/>
      <c r="S1024" s="178"/>
    </row>
    <row r="1025" spans="3:19" ht="14.25" customHeight="1" x14ac:dyDescent="0.25">
      <c r="C1025" s="24"/>
      <c r="D1025" s="178"/>
      <c r="E1025" s="178"/>
      <c r="F1025" s="178"/>
      <c r="G1025" s="178"/>
      <c r="H1025" s="178"/>
      <c r="I1025" s="178"/>
      <c r="J1025" s="178"/>
      <c r="K1025" s="178"/>
      <c r="L1025" s="178"/>
      <c r="M1025" s="178"/>
      <c r="N1025" s="178"/>
      <c r="O1025" s="178"/>
      <c r="P1025" s="178"/>
      <c r="Q1025" s="178"/>
      <c r="R1025" s="178"/>
      <c r="S1025" s="178"/>
    </row>
    <row r="1026" spans="3:19" ht="14.25" customHeight="1" x14ac:dyDescent="0.25">
      <c r="C1026" s="24"/>
      <c r="D1026" s="178"/>
      <c r="E1026" s="178"/>
      <c r="F1026" s="178"/>
      <c r="G1026" s="178"/>
      <c r="H1026" s="178"/>
      <c r="I1026" s="178"/>
      <c r="J1026" s="178"/>
      <c r="K1026" s="178"/>
      <c r="L1026" s="178"/>
      <c r="M1026" s="178"/>
      <c r="N1026" s="178"/>
      <c r="O1026" s="178"/>
      <c r="P1026" s="178"/>
      <c r="Q1026" s="178"/>
      <c r="R1026" s="178"/>
      <c r="S1026" s="178"/>
    </row>
    <row r="1027" spans="3:19" ht="14.25" customHeight="1" x14ac:dyDescent="0.25">
      <c r="C1027" s="24"/>
      <c r="D1027" s="178"/>
      <c r="E1027" s="178"/>
      <c r="F1027" s="178"/>
      <c r="G1027" s="178"/>
      <c r="H1027" s="178"/>
      <c r="I1027" s="178"/>
      <c r="J1027" s="178"/>
      <c r="K1027" s="178"/>
      <c r="L1027" s="178"/>
      <c r="M1027" s="178"/>
      <c r="N1027" s="178"/>
      <c r="O1027" s="178"/>
      <c r="P1027" s="178"/>
      <c r="Q1027" s="178"/>
      <c r="R1027" s="178"/>
      <c r="S1027" s="178"/>
    </row>
    <row r="1028" spans="3:19" ht="14.25" customHeight="1" x14ac:dyDescent="0.25">
      <c r="C1028" s="24"/>
      <c r="D1028" s="178"/>
      <c r="E1028" s="178"/>
      <c r="F1028" s="178"/>
      <c r="G1028" s="178"/>
      <c r="H1028" s="178"/>
      <c r="I1028" s="178"/>
      <c r="J1028" s="178"/>
      <c r="K1028" s="178"/>
      <c r="L1028" s="178"/>
      <c r="M1028" s="178"/>
      <c r="N1028" s="178"/>
      <c r="O1028" s="178"/>
      <c r="P1028" s="178"/>
      <c r="Q1028" s="178"/>
      <c r="R1028" s="178"/>
      <c r="S1028" s="178"/>
    </row>
    <row r="1029" spans="3:19" ht="14.25" customHeight="1" x14ac:dyDescent="0.25">
      <c r="C1029" s="24"/>
      <c r="D1029" s="178"/>
      <c r="E1029" s="178"/>
      <c r="F1029" s="178"/>
      <c r="G1029" s="178"/>
      <c r="H1029" s="178"/>
      <c r="I1029" s="178"/>
      <c r="J1029" s="178"/>
      <c r="K1029" s="178"/>
      <c r="L1029" s="178"/>
      <c r="M1029" s="178"/>
      <c r="N1029" s="178"/>
      <c r="O1029" s="178"/>
      <c r="P1029" s="178"/>
      <c r="Q1029" s="178"/>
      <c r="R1029" s="178"/>
      <c r="S1029" s="178"/>
    </row>
    <row r="1030" spans="3:19" ht="14.25" customHeight="1" x14ac:dyDescent="0.25">
      <c r="C1030" s="24"/>
      <c r="D1030" s="178"/>
      <c r="E1030" s="178"/>
      <c r="F1030" s="178"/>
      <c r="G1030" s="178"/>
      <c r="H1030" s="178"/>
      <c r="I1030" s="178"/>
      <c r="J1030" s="178"/>
      <c r="K1030" s="178"/>
      <c r="L1030" s="178"/>
      <c r="M1030" s="178"/>
      <c r="N1030" s="178"/>
      <c r="O1030" s="178"/>
      <c r="P1030" s="178"/>
      <c r="Q1030" s="178"/>
      <c r="R1030" s="178"/>
      <c r="S1030" s="178"/>
    </row>
    <row r="1031" spans="3:19" ht="14.25" customHeight="1" x14ac:dyDescent="0.25">
      <c r="C1031" s="24"/>
      <c r="D1031" s="178"/>
      <c r="E1031" s="178"/>
      <c r="F1031" s="178"/>
      <c r="G1031" s="178"/>
      <c r="H1031" s="178"/>
      <c r="I1031" s="178"/>
      <c r="J1031" s="178"/>
      <c r="K1031" s="178"/>
      <c r="L1031" s="178"/>
      <c r="M1031" s="178"/>
      <c r="N1031" s="178"/>
      <c r="O1031" s="178"/>
      <c r="P1031" s="178"/>
      <c r="Q1031" s="178"/>
      <c r="R1031" s="178"/>
      <c r="S1031" s="178"/>
    </row>
    <row r="1032" spans="3:19" ht="14.25" customHeight="1" x14ac:dyDescent="0.25">
      <c r="C1032" s="24"/>
      <c r="D1032" s="178"/>
      <c r="E1032" s="178"/>
      <c r="F1032" s="178"/>
      <c r="G1032" s="178"/>
      <c r="H1032" s="178"/>
      <c r="I1032" s="178"/>
      <c r="J1032" s="178"/>
      <c r="K1032" s="178"/>
      <c r="L1032" s="178"/>
      <c r="M1032" s="178"/>
      <c r="N1032" s="178"/>
      <c r="O1032" s="178"/>
      <c r="P1032" s="178"/>
      <c r="Q1032" s="178"/>
      <c r="R1032" s="178"/>
      <c r="S1032" s="178"/>
    </row>
    <row r="1033" spans="3:19" ht="14.25" customHeight="1" x14ac:dyDescent="0.25">
      <c r="C1033" s="24"/>
      <c r="D1033" s="178"/>
      <c r="E1033" s="178"/>
      <c r="F1033" s="178"/>
      <c r="G1033" s="178"/>
      <c r="H1033" s="178"/>
      <c r="I1033" s="178"/>
      <c r="J1033" s="178"/>
      <c r="K1033" s="178"/>
      <c r="L1033" s="178"/>
      <c r="M1033" s="178"/>
      <c r="N1033" s="178"/>
      <c r="O1033" s="178"/>
      <c r="P1033" s="178"/>
      <c r="Q1033" s="178"/>
      <c r="R1033" s="178"/>
      <c r="S1033" s="178"/>
    </row>
    <row r="1034" spans="3:19" ht="14.25" customHeight="1" x14ac:dyDescent="0.25">
      <c r="C1034" s="24"/>
      <c r="D1034" s="178"/>
      <c r="E1034" s="178"/>
      <c r="F1034" s="178"/>
      <c r="G1034" s="178"/>
      <c r="H1034" s="178"/>
      <c r="I1034" s="178"/>
      <c r="J1034" s="178"/>
      <c r="K1034" s="178"/>
      <c r="L1034" s="178"/>
      <c r="M1034" s="178"/>
      <c r="N1034" s="178"/>
      <c r="O1034" s="178"/>
      <c r="P1034" s="178"/>
      <c r="Q1034" s="178"/>
      <c r="R1034" s="178"/>
      <c r="S1034" s="178"/>
    </row>
    <row r="1035" spans="3:19" ht="14.25" customHeight="1" x14ac:dyDescent="0.25">
      <c r="C1035" s="24"/>
      <c r="D1035" s="178"/>
      <c r="E1035" s="178"/>
      <c r="F1035" s="178"/>
      <c r="G1035" s="178"/>
      <c r="H1035" s="178"/>
      <c r="I1035" s="178"/>
      <c r="J1035" s="178"/>
      <c r="K1035" s="178"/>
      <c r="L1035" s="178"/>
      <c r="M1035" s="178"/>
      <c r="N1035" s="178"/>
      <c r="O1035" s="178"/>
      <c r="P1035" s="178"/>
      <c r="Q1035" s="178"/>
      <c r="R1035" s="178"/>
      <c r="S1035" s="178"/>
    </row>
    <row r="1036" spans="3:19" ht="14.25" customHeight="1" x14ac:dyDescent="0.25">
      <c r="C1036" s="24"/>
      <c r="D1036" s="178"/>
      <c r="E1036" s="178"/>
      <c r="F1036" s="178"/>
      <c r="G1036" s="178"/>
      <c r="H1036" s="178"/>
      <c r="I1036" s="178"/>
      <c r="J1036" s="178"/>
      <c r="K1036" s="178"/>
      <c r="L1036" s="178"/>
      <c r="M1036" s="178"/>
      <c r="N1036" s="178"/>
      <c r="O1036" s="178"/>
      <c r="P1036" s="178"/>
      <c r="Q1036" s="178"/>
      <c r="R1036" s="178"/>
      <c r="S1036" s="178"/>
    </row>
    <row r="1037" spans="3:19" ht="14.25" customHeight="1" x14ac:dyDescent="0.25">
      <c r="C1037" s="24"/>
      <c r="D1037" s="178"/>
      <c r="E1037" s="178"/>
      <c r="F1037" s="178"/>
      <c r="G1037" s="178"/>
      <c r="H1037" s="178"/>
      <c r="I1037" s="178"/>
      <c r="J1037" s="178"/>
      <c r="K1037" s="178"/>
      <c r="L1037" s="178"/>
      <c r="M1037" s="178"/>
      <c r="N1037" s="178"/>
      <c r="O1037" s="178"/>
      <c r="P1037" s="178"/>
      <c r="Q1037" s="178"/>
      <c r="R1037" s="178"/>
      <c r="S1037" s="178"/>
    </row>
    <row r="1038" spans="3:19" ht="14.25" customHeight="1" x14ac:dyDescent="0.25">
      <c r="C1038" s="24"/>
      <c r="D1038" s="178"/>
      <c r="E1038" s="178"/>
      <c r="F1038" s="178"/>
      <c r="G1038" s="178"/>
      <c r="H1038" s="178"/>
      <c r="I1038" s="178"/>
      <c r="J1038" s="178"/>
      <c r="K1038" s="178"/>
      <c r="L1038" s="178"/>
      <c r="M1038" s="178"/>
      <c r="N1038" s="178"/>
      <c r="O1038" s="178"/>
      <c r="P1038" s="178"/>
      <c r="Q1038" s="178"/>
      <c r="R1038" s="178"/>
      <c r="S1038" s="178"/>
    </row>
    <row r="1039" spans="3:19" ht="14.25" customHeight="1" x14ac:dyDescent="0.25">
      <c r="C1039" s="24"/>
      <c r="D1039" s="178"/>
      <c r="E1039" s="178"/>
      <c r="F1039" s="178"/>
      <c r="G1039" s="178"/>
      <c r="H1039" s="178"/>
      <c r="I1039" s="178"/>
      <c r="J1039" s="178"/>
      <c r="K1039" s="178"/>
      <c r="L1039" s="178"/>
      <c r="M1039" s="178"/>
      <c r="N1039" s="178"/>
      <c r="O1039" s="178"/>
      <c r="P1039" s="178"/>
      <c r="Q1039" s="178"/>
      <c r="R1039" s="178"/>
      <c r="S1039" s="178"/>
    </row>
    <row r="1040" spans="3:19" ht="14.25" customHeight="1" x14ac:dyDescent="0.25">
      <c r="C1040" s="24"/>
      <c r="D1040" s="178"/>
      <c r="E1040" s="178"/>
      <c r="F1040" s="178"/>
      <c r="G1040" s="178"/>
      <c r="H1040" s="178"/>
      <c r="I1040" s="178"/>
      <c r="J1040" s="178"/>
      <c r="K1040" s="178"/>
      <c r="L1040" s="178"/>
      <c r="M1040" s="178"/>
      <c r="N1040" s="178"/>
      <c r="O1040" s="178"/>
      <c r="P1040" s="178"/>
      <c r="Q1040" s="178"/>
      <c r="R1040" s="178"/>
      <c r="S1040" s="178"/>
    </row>
    <row r="1041" spans="2:24" ht="14.25" customHeight="1" x14ac:dyDescent="0.25">
      <c r="C1041" s="24"/>
      <c r="D1041" s="178"/>
      <c r="E1041" s="178"/>
      <c r="F1041" s="178"/>
      <c r="G1041" s="178"/>
      <c r="H1041" s="178"/>
      <c r="I1041" s="178"/>
      <c r="J1041" s="178"/>
      <c r="K1041" s="178"/>
      <c r="L1041" s="178"/>
      <c r="M1041" s="178"/>
      <c r="N1041" s="178"/>
      <c r="O1041" s="178"/>
      <c r="P1041" s="178"/>
      <c r="Q1041" s="178"/>
      <c r="R1041" s="178"/>
      <c r="S1041" s="178"/>
    </row>
    <row r="1042" spans="2:24" ht="14.25" customHeight="1" x14ac:dyDescent="0.25">
      <c r="C1042" s="24"/>
      <c r="D1042" s="24"/>
      <c r="E1042" s="24"/>
      <c r="F1042" s="24"/>
      <c r="G1042" s="24"/>
      <c r="H1042" s="5"/>
    </row>
    <row r="1043" spans="2:24" ht="14.25" customHeight="1" x14ac:dyDescent="0.25">
      <c r="C1043" s="24"/>
      <c r="D1043" s="24"/>
      <c r="E1043" s="24"/>
      <c r="F1043" s="24"/>
      <c r="G1043" s="24"/>
      <c r="H1043" s="5"/>
    </row>
    <row r="1044" spans="2:24" ht="14.25" customHeight="1" x14ac:dyDescent="0.25">
      <c r="C1044" s="24"/>
      <c r="D1044" s="24"/>
      <c r="E1044" s="24"/>
      <c r="F1044" s="24"/>
      <c r="G1044" s="24"/>
      <c r="H1044" s="5"/>
    </row>
    <row r="1045" spans="2:24" ht="14.25" customHeight="1" x14ac:dyDescent="0.25">
      <c r="C1045" s="24"/>
      <c r="D1045" s="24"/>
      <c r="E1045" s="24"/>
      <c r="F1045" s="24"/>
      <c r="G1045" s="24"/>
      <c r="H1045" s="5"/>
    </row>
    <row r="1046" spans="2:24" ht="14.25" customHeight="1" x14ac:dyDescent="0.25">
      <c r="C1046" s="24"/>
      <c r="D1046" s="24"/>
      <c r="E1046" s="24"/>
      <c r="F1046" s="24"/>
      <c r="G1046" s="24"/>
      <c r="H1046" s="5"/>
    </row>
    <row r="1047" spans="2:24" ht="14.25" customHeight="1" x14ac:dyDescent="0.25">
      <c r="C1047" s="24"/>
      <c r="D1047" s="24"/>
      <c r="E1047" s="24"/>
      <c r="F1047" s="24"/>
      <c r="G1047" s="24"/>
      <c r="H1047" s="5"/>
    </row>
    <row r="1048" spans="2:24" ht="14.25" customHeight="1" x14ac:dyDescent="0.25">
      <c r="C1048" s="24"/>
      <c r="D1048" s="24"/>
      <c r="E1048" s="24"/>
      <c r="F1048" s="24"/>
      <c r="G1048" s="24"/>
      <c r="H1048" s="5"/>
    </row>
    <row r="1049" spans="2:24" ht="14.25" customHeight="1" x14ac:dyDescent="0.25">
      <c r="C1049" s="24"/>
      <c r="D1049" s="24"/>
      <c r="E1049" s="24"/>
      <c r="F1049" s="24"/>
      <c r="G1049" s="24"/>
      <c r="H1049" s="5"/>
    </row>
    <row r="1050" spans="2:24" ht="14.25" customHeight="1" x14ac:dyDescent="0.25">
      <c r="B1050" s="343" t="str">
        <f>TITLE!C28</f>
        <v>Плінтуси</v>
      </c>
      <c r="C1050" s="321"/>
      <c r="D1050" s="93"/>
      <c r="E1050" s="93"/>
      <c r="F1050" s="93"/>
      <c r="G1050" s="93"/>
      <c r="H1050" s="322"/>
      <c r="I1050" s="322"/>
      <c r="J1050" s="94"/>
      <c r="K1050" s="94"/>
      <c r="L1050" s="94"/>
      <c r="M1050" s="94"/>
      <c r="N1050" s="94"/>
      <c r="O1050" s="94"/>
      <c r="P1050" s="323" t="str">
        <f>IF($C$1="ENG",CONCATENATE("up to: ",B961),CONCATENATE("вгору до: ",B961))</f>
        <v>вгору до: Дверна коробка ECO-FIT</v>
      </c>
      <c r="Q1050" s="323"/>
      <c r="R1050" s="323"/>
      <c r="S1050" s="323"/>
    </row>
    <row r="1051" spans="2:24" ht="4.5" customHeight="1" x14ac:dyDescent="0.25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37"/>
      <c r="M1051" s="37"/>
      <c r="N1051" s="37"/>
      <c r="O1051" s="37"/>
      <c r="P1051" s="88"/>
      <c r="Q1051" s="88"/>
      <c r="R1051" s="88"/>
      <c r="S1051" s="88"/>
    </row>
    <row r="1052" spans="2:24" ht="12.75" customHeight="1" x14ac:dyDescent="0.25">
      <c r="B1052" s="324" t="str">
        <f>IF($C$1="ENG","model","модель")</f>
        <v>модель</v>
      </c>
      <c r="C1052" s="95" t="str">
        <f>IF($C$1="ENG","cover:","покриття:")</f>
        <v>покриття:</v>
      </c>
      <c r="D1052" s="327" t="s">
        <v>23</v>
      </c>
      <c r="E1052" s="328"/>
      <c r="F1052" s="327" t="s">
        <v>72</v>
      </c>
      <c r="G1052" s="328"/>
      <c r="H1052" s="360"/>
      <c r="I1052" s="360"/>
      <c r="J1052" s="360"/>
      <c r="K1052" s="360"/>
      <c r="L1052" s="36"/>
      <c r="M1052" s="36"/>
      <c r="N1052" s="36"/>
      <c r="O1052" s="36"/>
      <c r="T1052" s="282"/>
      <c r="U1052" s="37"/>
      <c r="V1052" s="37"/>
      <c r="W1052" s="37"/>
      <c r="X1052" s="37"/>
    </row>
    <row r="1053" spans="2:24" ht="12.75" customHeight="1" x14ac:dyDescent="0.25">
      <c r="B1053" s="326"/>
      <c r="C1053" s="97" t="str">
        <f>IF($C$1="ENG","type:","виконання:")</f>
        <v>виконання:</v>
      </c>
      <c r="D1053" s="331" t="str">
        <f>IF($C$1="ENG","for 1 pcs","за 1 шт.")</f>
        <v>за 1 шт.</v>
      </c>
      <c r="E1053" s="332"/>
      <c r="F1053" s="331" t="str">
        <f>IF($C$1="ENG","for 1 pcs","за 1 шт.")</f>
        <v>за 1 шт.</v>
      </c>
      <c r="G1053" s="332"/>
      <c r="H1053" s="337"/>
      <c r="I1053" s="337"/>
      <c r="J1053" s="337"/>
      <c r="K1053" s="337"/>
      <c r="L1053" s="36"/>
      <c r="M1053" s="36"/>
      <c r="N1053" s="36"/>
      <c r="O1053" s="36"/>
      <c r="T1053" s="282"/>
      <c r="U1053" s="37"/>
      <c r="V1053" s="37"/>
      <c r="W1053" s="37"/>
      <c r="X1053" s="37"/>
    </row>
    <row r="1054" spans="2:24" ht="35.25" customHeight="1" x14ac:dyDescent="0.25">
      <c r="B1054" s="272" t="str">
        <f>IF($C$1="ENG","Plinth 60 mm","Плінтус 60 мм")</f>
        <v>Плінтус 60 мм</v>
      </c>
      <c r="C1054" s="361"/>
      <c r="D1054" s="40">
        <f>IF(U1054="","",(1-$S$2)*(U1054/1.2))</f>
        <v>308.33333333333337</v>
      </c>
      <c r="E1054" s="66">
        <f>IF($S$5=0.2,D1054*1.2,D1054)/$S$4</f>
        <v>370.00000000000006</v>
      </c>
      <c r="F1054" s="40">
        <f>IF(V1054="","",(1-$S$2)*(V1054/1.2))</f>
        <v>391.66666666666669</v>
      </c>
      <c r="G1054" s="66">
        <f>IF($S$5=0.2,F1054*1.2,F1054)/$S$4</f>
        <v>470</v>
      </c>
      <c r="H1054" s="26"/>
      <c r="I1054" s="49"/>
      <c r="J1054" s="26"/>
      <c r="K1054" s="49"/>
      <c r="L1054" s="26"/>
      <c r="M1054" s="82"/>
      <c r="N1054" s="81"/>
      <c r="O1054" s="82"/>
      <c r="P1054" s="81"/>
      <c r="Q1054" s="82"/>
      <c r="R1054" s="81"/>
      <c r="S1054" s="82"/>
      <c r="T1054" s="282"/>
      <c r="U1054" s="1">
        <v>370</v>
      </c>
      <c r="V1054" s="1">
        <v>470</v>
      </c>
      <c r="W1054" s="37"/>
      <c r="X1054" s="37"/>
    </row>
    <row r="1055" spans="2:24" ht="35.25" customHeight="1" x14ac:dyDescent="0.25">
      <c r="B1055" s="272" t="str">
        <f>IF($C$1="ENG","Plinth 80 mm","Плінтус 80 мм")</f>
        <v>Плінтус 80 мм</v>
      </c>
      <c r="C1055" s="362"/>
      <c r="D1055" s="40">
        <f>IF(U1055="","",(1-$S$2)*(U1055/1.2))</f>
        <v>341.66666666666669</v>
      </c>
      <c r="E1055" s="66">
        <f>IF($S$5=0.2,D1055*1.2,D1055)/$S$4</f>
        <v>410</v>
      </c>
      <c r="F1055" s="40">
        <f>IF(V1055="","",(1-$S$2)*(V1055/1.2))</f>
        <v>433.33333333333337</v>
      </c>
      <c r="G1055" s="66">
        <f>IF($S$5=0.2,F1055*1.2,F1055)/$S$4</f>
        <v>520</v>
      </c>
      <c r="H1055" s="26"/>
      <c r="I1055" s="49"/>
      <c r="J1055" s="26"/>
      <c r="K1055" s="49"/>
      <c r="T1055" s="282"/>
      <c r="U1055" s="1">
        <v>410</v>
      </c>
      <c r="V1055" s="1">
        <v>520</v>
      </c>
      <c r="W1055" s="37"/>
      <c r="X1055" s="37"/>
    </row>
    <row r="1056" spans="2:24" ht="14.25" customHeight="1" x14ac:dyDescent="0.25">
      <c r="C1056" s="24"/>
      <c r="D1056" s="24"/>
      <c r="E1056" s="24"/>
      <c r="F1056" s="24"/>
      <c r="G1056" s="24"/>
      <c r="H1056" s="5"/>
      <c r="T1056" s="37"/>
      <c r="U1056" s="37"/>
      <c r="V1056" s="37"/>
      <c r="W1056" s="37"/>
      <c r="X1056" s="37"/>
    </row>
    <row r="1057" spans="2:19" x14ac:dyDescent="0.25">
      <c r="B1057" s="155" t="str">
        <f>IF($C$1="ENG","Orders for skirting plinths are accepted in quantities of 8 pcs.","Замовлення на Плінтус приймаються в кількості від 8 шт.")</f>
        <v>Замовлення на Плінтус приймаються в кількості від 8 шт.</v>
      </c>
      <c r="C1057" s="156"/>
      <c r="D1057" s="156"/>
      <c r="E1057" s="157"/>
      <c r="F1057" s="33"/>
      <c r="G1057" s="273"/>
      <c r="H1057" s="10"/>
      <c r="I1057" s="65"/>
      <c r="J1057" s="8"/>
      <c r="K1057" s="8"/>
      <c r="L1057" s="81"/>
      <c r="N1057" s="81"/>
      <c r="Q1057" s="20"/>
      <c r="S1057" s="20"/>
    </row>
    <row r="1058" spans="2:19" ht="14.25" customHeight="1" x14ac:dyDescent="0.25">
      <c r="C1058" s="24"/>
      <c r="D1058" s="24"/>
      <c r="E1058" s="24"/>
      <c r="F1058" s="24"/>
      <c r="G1058" s="24"/>
      <c r="H1058" s="5"/>
      <c r="P1058" s="341" t="str">
        <f>IF($C$1="ENG",CONCATENATE("down to: ",B1108),CONCATENATE("вниз до: ",B1108))</f>
        <v>вниз до: Фрамуги</v>
      </c>
      <c r="Q1058" s="341"/>
      <c r="R1058" s="341"/>
      <c r="S1058" s="341"/>
    </row>
    <row r="1059" spans="2:19" ht="14.25" customHeight="1" x14ac:dyDescent="0.25">
      <c r="C1059" s="24"/>
      <c r="D1059" s="24"/>
      <c r="E1059" s="24"/>
      <c r="F1059" s="24"/>
      <c r="G1059" s="24"/>
      <c r="H1059" s="5"/>
    </row>
    <row r="1060" spans="2:19" ht="14.25" customHeight="1" x14ac:dyDescent="0.25">
      <c r="C1060" s="24"/>
      <c r="D1060" s="24"/>
      <c r="E1060" s="24"/>
      <c r="F1060" s="24"/>
      <c r="G1060" s="24"/>
      <c r="H1060" s="5"/>
    </row>
    <row r="1061" spans="2:19" ht="14.25" customHeight="1" x14ac:dyDescent="0.25">
      <c r="C1061" s="24"/>
      <c r="D1061" s="24"/>
      <c r="E1061" s="24"/>
      <c r="F1061" s="24"/>
      <c r="G1061" s="24"/>
      <c r="H1061" s="5"/>
    </row>
    <row r="1062" spans="2:19" ht="14.25" customHeight="1" x14ac:dyDescent="0.25">
      <c r="C1062" s="24"/>
      <c r="D1062" s="24"/>
      <c r="E1062" s="24"/>
      <c r="F1062" s="24"/>
      <c r="G1062" s="24"/>
      <c r="H1062" s="5"/>
    </row>
    <row r="1063" spans="2:19" ht="14.25" customHeight="1" x14ac:dyDescent="0.25">
      <c r="C1063" s="24"/>
      <c r="D1063" s="24"/>
      <c r="E1063" s="24"/>
      <c r="F1063" s="24"/>
      <c r="G1063" s="24"/>
      <c r="H1063" s="5"/>
    </row>
    <row r="1064" spans="2:19" ht="14.25" customHeight="1" x14ac:dyDescent="0.25">
      <c r="C1064" s="24"/>
      <c r="D1064" s="24"/>
      <c r="E1064" s="24"/>
      <c r="F1064" s="24"/>
      <c r="G1064" s="24"/>
      <c r="H1064" s="5"/>
    </row>
    <row r="1065" spans="2:19" ht="14.25" customHeight="1" x14ac:dyDescent="0.25">
      <c r="C1065" s="24"/>
      <c r="D1065" s="24"/>
      <c r="E1065" s="24"/>
      <c r="F1065" s="24"/>
      <c r="G1065" s="24"/>
      <c r="H1065" s="5"/>
    </row>
    <row r="1066" spans="2:19" ht="14.25" customHeight="1" x14ac:dyDescent="0.25">
      <c r="C1066" s="24"/>
      <c r="D1066" s="24"/>
      <c r="E1066" s="24"/>
      <c r="F1066" s="24"/>
      <c r="G1066" s="24"/>
      <c r="H1066" s="5"/>
    </row>
    <row r="1067" spans="2:19" ht="14.25" customHeight="1" x14ac:dyDescent="0.25">
      <c r="C1067" s="24"/>
      <c r="D1067" s="24"/>
      <c r="E1067" s="24"/>
      <c r="F1067" s="24"/>
      <c r="G1067" s="24"/>
      <c r="H1067" s="5"/>
    </row>
    <row r="1068" spans="2:19" ht="14.25" customHeight="1" x14ac:dyDescent="0.25">
      <c r="C1068" s="24"/>
      <c r="D1068" s="24"/>
      <c r="E1068" s="24"/>
      <c r="F1068" s="24"/>
      <c r="G1068" s="24"/>
      <c r="H1068" s="5"/>
    </row>
    <row r="1069" spans="2:19" ht="14.25" customHeight="1" x14ac:dyDescent="0.25">
      <c r="C1069" s="24"/>
      <c r="D1069" s="24"/>
      <c r="E1069" s="24"/>
      <c r="F1069" s="24"/>
      <c r="G1069" s="24"/>
      <c r="H1069" s="5"/>
    </row>
    <row r="1070" spans="2:19" ht="14.25" customHeight="1" x14ac:dyDescent="0.25">
      <c r="C1070" s="24"/>
      <c r="D1070" s="24"/>
      <c r="E1070" s="24"/>
      <c r="F1070" s="24"/>
      <c r="G1070" s="24"/>
      <c r="H1070" s="5"/>
    </row>
    <row r="1071" spans="2:19" ht="14.25" customHeight="1" x14ac:dyDescent="0.25">
      <c r="C1071" s="24"/>
      <c r="D1071" s="24"/>
      <c r="E1071" s="24"/>
      <c r="F1071" s="24"/>
      <c r="G1071" s="24"/>
      <c r="H1071" s="5"/>
    </row>
    <row r="1072" spans="2:19" ht="14.25" customHeight="1" x14ac:dyDescent="0.25">
      <c r="C1072" s="24"/>
      <c r="D1072" s="24"/>
      <c r="E1072" s="24"/>
      <c r="F1072" s="24"/>
      <c r="G1072" s="24"/>
      <c r="H1072" s="5"/>
    </row>
    <row r="1073" spans="3:8" ht="14.25" customHeight="1" x14ac:dyDescent="0.25">
      <c r="C1073" s="24"/>
      <c r="D1073" s="24"/>
      <c r="E1073" s="24"/>
      <c r="F1073" s="24"/>
      <c r="G1073" s="24"/>
      <c r="H1073" s="5"/>
    </row>
    <row r="1074" spans="3:8" ht="14.25" customHeight="1" x14ac:dyDescent="0.25">
      <c r="C1074" s="24"/>
      <c r="D1074" s="24"/>
      <c r="E1074" s="24"/>
      <c r="F1074" s="24"/>
      <c r="G1074" s="24"/>
      <c r="H1074" s="5"/>
    </row>
    <row r="1075" spans="3:8" ht="14.25" customHeight="1" x14ac:dyDescent="0.25">
      <c r="C1075" s="24"/>
      <c r="D1075" s="24"/>
      <c r="E1075" s="24"/>
      <c r="F1075" s="24"/>
      <c r="G1075" s="24"/>
      <c r="H1075" s="5"/>
    </row>
    <row r="1076" spans="3:8" ht="14.25" customHeight="1" x14ac:dyDescent="0.25">
      <c r="C1076" s="24"/>
      <c r="D1076" s="24"/>
      <c r="E1076" s="24"/>
      <c r="F1076" s="24"/>
      <c r="G1076" s="24"/>
      <c r="H1076" s="5"/>
    </row>
    <row r="1077" spans="3:8" ht="14.25" customHeight="1" x14ac:dyDescent="0.25">
      <c r="C1077" s="24"/>
      <c r="D1077" s="24"/>
      <c r="E1077" s="24"/>
      <c r="F1077" s="24"/>
      <c r="G1077" s="24"/>
      <c r="H1077" s="5"/>
    </row>
    <row r="1078" spans="3:8" ht="14.25" customHeight="1" x14ac:dyDescent="0.25">
      <c r="C1078" s="24"/>
      <c r="D1078" s="24"/>
      <c r="E1078" s="24"/>
      <c r="F1078" s="24"/>
      <c r="G1078" s="24"/>
      <c r="H1078" s="5"/>
    </row>
    <row r="1079" spans="3:8" ht="14.25" customHeight="1" x14ac:dyDescent="0.25">
      <c r="C1079" s="24"/>
      <c r="D1079" s="24"/>
      <c r="E1079" s="24"/>
      <c r="F1079" s="24"/>
      <c r="G1079" s="24"/>
      <c r="H1079" s="5"/>
    </row>
    <row r="1080" spans="3:8" ht="14.25" customHeight="1" x14ac:dyDescent="0.25">
      <c r="C1080" s="24"/>
      <c r="D1080" s="24"/>
      <c r="E1080" s="24"/>
      <c r="F1080" s="24"/>
      <c r="G1080" s="24"/>
      <c r="H1080" s="5"/>
    </row>
    <row r="1081" spans="3:8" ht="14.25" customHeight="1" x14ac:dyDescent="0.25">
      <c r="C1081" s="24"/>
      <c r="D1081" s="24"/>
      <c r="E1081" s="24"/>
      <c r="F1081" s="24"/>
      <c r="G1081" s="24"/>
      <c r="H1081" s="5"/>
    </row>
    <row r="1082" spans="3:8" ht="14.25" customHeight="1" x14ac:dyDescent="0.25">
      <c r="C1082" s="24"/>
      <c r="D1082" s="24"/>
      <c r="E1082" s="24"/>
      <c r="F1082" s="24"/>
      <c r="G1082" s="24"/>
      <c r="H1082" s="5"/>
    </row>
    <row r="1083" spans="3:8" ht="14.25" customHeight="1" x14ac:dyDescent="0.25">
      <c r="C1083" s="24"/>
      <c r="D1083" s="24"/>
      <c r="E1083" s="24"/>
      <c r="F1083" s="24"/>
      <c r="G1083" s="24"/>
      <c r="H1083" s="5"/>
    </row>
    <row r="1084" spans="3:8" ht="14.25" customHeight="1" x14ac:dyDescent="0.25">
      <c r="C1084" s="24"/>
      <c r="D1084" s="24"/>
      <c r="E1084" s="24"/>
      <c r="F1084" s="24"/>
      <c r="G1084" s="24"/>
      <c r="H1084" s="5"/>
    </row>
    <row r="1085" spans="3:8" ht="14.25" customHeight="1" x14ac:dyDescent="0.25">
      <c r="C1085" s="24"/>
      <c r="D1085" s="24"/>
      <c r="E1085" s="24"/>
      <c r="F1085" s="24"/>
      <c r="G1085" s="24"/>
      <c r="H1085" s="5"/>
    </row>
    <row r="1086" spans="3:8" ht="14.25" customHeight="1" x14ac:dyDescent="0.25">
      <c r="C1086" s="24"/>
      <c r="D1086" s="24"/>
      <c r="E1086" s="24"/>
      <c r="F1086" s="24"/>
      <c r="G1086" s="24"/>
      <c r="H1086" s="5"/>
    </row>
    <row r="1087" spans="3:8" ht="14.25" customHeight="1" x14ac:dyDescent="0.25">
      <c r="C1087" s="24"/>
      <c r="D1087" s="24"/>
      <c r="E1087" s="24"/>
      <c r="F1087" s="24"/>
      <c r="G1087" s="24"/>
      <c r="H1087" s="5"/>
    </row>
    <row r="1088" spans="3:8" ht="14.25" customHeight="1" x14ac:dyDescent="0.25">
      <c r="C1088" s="24"/>
      <c r="D1088" s="24"/>
      <c r="E1088" s="24"/>
      <c r="F1088" s="24"/>
      <c r="G1088" s="24"/>
      <c r="H1088" s="5"/>
    </row>
    <row r="1089" spans="3:8" ht="14.25" customHeight="1" x14ac:dyDescent="0.25">
      <c r="C1089" s="24"/>
      <c r="D1089" s="24"/>
      <c r="E1089" s="24"/>
      <c r="F1089" s="24"/>
      <c r="G1089" s="24"/>
      <c r="H1089" s="5"/>
    </row>
    <row r="1090" spans="3:8" ht="14.25" customHeight="1" x14ac:dyDescent="0.25">
      <c r="C1090" s="24"/>
      <c r="D1090" s="24"/>
      <c r="E1090" s="24"/>
      <c r="F1090" s="24"/>
      <c r="G1090" s="24"/>
      <c r="H1090" s="5"/>
    </row>
    <row r="1091" spans="3:8" ht="14.25" customHeight="1" x14ac:dyDescent="0.25">
      <c r="C1091" s="24"/>
      <c r="D1091" s="24"/>
      <c r="E1091" s="24"/>
      <c r="F1091" s="24"/>
      <c r="G1091" s="24"/>
      <c r="H1091" s="5"/>
    </row>
    <row r="1092" spans="3:8" ht="14.25" customHeight="1" x14ac:dyDescent="0.25">
      <c r="C1092" s="24"/>
      <c r="D1092" s="24"/>
      <c r="E1092" s="24"/>
      <c r="F1092" s="24"/>
      <c r="G1092" s="24"/>
      <c r="H1092" s="5"/>
    </row>
    <row r="1093" spans="3:8" ht="14.25" customHeight="1" x14ac:dyDescent="0.25">
      <c r="C1093" s="24"/>
      <c r="D1093" s="24"/>
      <c r="E1093" s="24"/>
      <c r="F1093" s="24"/>
      <c r="G1093" s="24"/>
      <c r="H1093" s="5"/>
    </row>
    <row r="1094" spans="3:8" ht="14.25" customHeight="1" x14ac:dyDescent="0.25">
      <c r="C1094" s="24"/>
      <c r="D1094" s="24"/>
      <c r="E1094" s="24"/>
      <c r="F1094" s="24"/>
      <c r="G1094" s="24"/>
      <c r="H1094" s="5"/>
    </row>
    <row r="1095" spans="3:8" ht="14.25" customHeight="1" x14ac:dyDescent="0.25">
      <c r="C1095" s="24"/>
      <c r="D1095" s="24"/>
      <c r="E1095" s="24"/>
      <c r="F1095" s="24"/>
      <c r="G1095" s="24"/>
      <c r="H1095" s="5"/>
    </row>
    <row r="1096" spans="3:8" ht="14.25" customHeight="1" x14ac:dyDescent="0.25">
      <c r="C1096" s="24"/>
      <c r="D1096" s="24"/>
      <c r="E1096" s="24"/>
      <c r="F1096" s="24"/>
      <c r="G1096" s="24"/>
      <c r="H1096" s="5"/>
    </row>
    <row r="1097" spans="3:8" ht="14.25" customHeight="1" x14ac:dyDescent="0.25">
      <c r="C1097" s="24"/>
      <c r="D1097" s="24"/>
      <c r="E1097" s="24"/>
      <c r="F1097" s="24"/>
      <c r="G1097" s="24"/>
      <c r="H1097" s="5"/>
    </row>
    <row r="1098" spans="3:8" ht="14.25" customHeight="1" x14ac:dyDescent="0.25">
      <c r="C1098" s="24"/>
      <c r="D1098" s="24"/>
      <c r="E1098" s="24"/>
      <c r="F1098" s="24"/>
      <c r="G1098" s="24"/>
      <c r="H1098" s="5"/>
    </row>
    <row r="1099" spans="3:8" ht="14.25" customHeight="1" x14ac:dyDescent="0.25">
      <c r="C1099" s="24"/>
      <c r="D1099" s="24"/>
      <c r="E1099" s="24"/>
      <c r="F1099" s="24"/>
      <c r="G1099" s="24"/>
      <c r="H1099" s="5"/>
    </row>
    <row r="1100" spans="3:8" ht="14.25" customHeight="1" x14ac:dyDescent="0.25">
      <c r="C1100" s="24"/>
      <c r="D1100" s="24"/>
      <c r="E1100" s="24"/>
      <c r="F1100" s="24"/>
      <c r="G1100" s="24"/>
      <c r="H1100" s="5"/>
    </row>
    <row r="1101" spans="3:8" ht="14.25" customHeight="1" x14ac:dyDescent="0.25">
      <c r="C1101" s="24"/>
      <c r="D1101" s="24"/>
      <c r="E1101" s="24"/>
      <c r="F1101" s="24"/>
      <c r="G1101" s="24"/>
      <c r="H1101" s="5"/>
    </row>
    <row r="1102" spans="3:8" ht="14.25" customHeight="1" x14ac:dyDescent="0.25">
      <c r="C1102" s="24"/>
      <c r="D1102" s="24"/>
      <c r="E1102" s="24"/>
      <c r="F1102" s="24"/>
      <c r="G1102" s="24"/>
      <c r="H1102" s="5"/>
    </row>
    <row r="1103" spans="3:8" ht="14.25" customHeight="1" x14ac:dyDescent="0.25">
      <c r="C1103" s="24"/>
      <c r="D1103" s="24"/>
      <c r="E1103" s="24"/>
      <c r="F1103" s="24"/>
      <c r="G1103" s="24"/>
      <c r="H1103" s="5"/>
    </row>
    <row r="1104" spans="3:8" ht="14.25" customHeight="1" x14ac:dyDescent="0.25">
      <c r="C1104" s="24"/>
      <c r="D1104" s="24"/>
      <c r="E1104" s="24"/>
      <c r="F1104" s="24"/>
      <c r="G1104" s="24"/>
      <c r="H1104" s="5"/>
    </row>
    <row r="1105" spans="1:28" ht="14.25" customHeight="1" x14ac:dyDescent="0.25">
      <c r="C1105" s="24"/>
      <c r="D1105" s="24"/>
      <c r="E1105" s="24"/>
      <c r="F1105" s="24"/>
      <c r="G1105" s="24"/>
      <c r="H1105" s="5"/>
      <c r="I1105" s="24"/>
    </row>
    <row r="1106" spans="1:28" ht="14.25" customHeight="1" x14ac:dyDescent="0.25">
      <c r="C1106" s="24"/>
      <c r="D1106" s="24"/>
      <c r="E1106" s="24"/>
      <c r="F1106" s="24"/>
      <c r="G1106" s="24"/>
      <c r="H1106" s="5"/>
    </row>
    <row r="1107" spans="1:28" ht="14.25" customHeight="1" x14ac:dyDescent="0.25">
      <c r="C1107" s="24"/>
      <c r="D1107" s="24"/>
      <c r="E1107" s="24"/>
      <c r="F1107" s="24"/>
      <c r="G1107" s="24"/>
      <c r="H1107" s="5"/>
    </row>
    <row r="1108" spans="1:28" s="8" customFormat="1" x14ac:dyDescent="0.25">
      <c r="B1108" s="343" t="str">
        <f>TITLE!$C$29</f>
        <v>Фрамуги</v>
      </c>
      <c r="C1108" s="321"/>
      <c r="D1108" s="93"/>
      <c r="E1108" s="93"/>
      <c r="F1108" s="93"/>
      <c r="G1108" s="93"/>
      <c r="H1108" s="322"/>
      <c r="I1108" s="322"/>
      <c r="J1108" s="94"/>
      <c r="K1108" s="94"/>
      <c r="L1108" s="94"/>
      <c r="M1108" s="94"/>
      <c r="N1108" s="94"/>
      <c r="O1108" s="94"/>
      <c r="P1108" s="323" t="str">
        <f>IF($C$1="ENG",CONCATENATE("up to: ",B1050),CONCATENATE("вгору до: ",B1050))</f>
        <v>вгору до: Плінтуси</v>
      </c>
      <c r="Q1108" s="323"/>
      <c r="R1108" s="323"/>
      <c r="S1108" s="323"/>
    </row>
    <row r="1109" spans="1:28" s="8" customFormat="1" ht="5.0999999999999996" customHeight="1" x14ac:dyDescent="0.25">
      <c r="B1109" s="91"/>
      <c r="C1109" s="90"/>
      <c r="D1109" s="9"/>
      <c r="E1109" s="9"/>
      <c r="F1109" s="10"/>
      <c r="G1109" s="10"/>
      <c r="H1109" s="109"/>
      <c r="I1109" s="109"/>
      <c r="J1109" s="37"/>
      <c r="K1109" s="37"/>
      <c r="L1109" s="37"/>
      <c r="M1109" s="37"/>
      <c r="N1109" s="37"/>
      <c r="O1109" s="37"/>
      <c r="P1109" s="88"/>
      <c r="Q1109" s="88"/>
      <c r="R1109" s="88"/>
      <c r="S1109" s="88"/>
    </row>
    <row r="1110" spans="1:28" ht="12.75" customHeight="1" x14ac:dyDescent="0.25">
      <c r="A1110" s="8"/>
      <c r="B1110" s="324" t="str">
        <f>IF($C$1="ENG","model","модель")</f>
        <v>модель</v>
      </c>
      <c r="C1110" s="95" t="str">
        <f>IF($C$1="ENG","cover:","покриття:")</f>
        <v>покриття:</v>
      </c>
      <c r="D1110" s="327" t="str">
        <f>IF($C$1="ENG","ECO-CELL","ECO-CELL")</f>
        <v>ECO-CELL</v>
      </c>
      <c r="E1110" s="328"/>
      <c r="F1110" s="327" t="str">
        <f>IF($C$1="ENG","ECO-RESIST","ECO-RESIST")</f>
        <v>ECO-RESIST</v>
      </c>
      <c r="G1110" s="328"/>
      <c r="H1110" s="35"/>
      <c r="I1110" s="35"/>
      <c r="J1110" s="35"/>
      <c r="K1110" s="35"/>
      <c r="L1110" s="36"/>
      <c r="M1110" s="36"/>
      <c r="N1110" s="36"/>
      <c r="O1110" s="36"/>
    </row>
    <row r="1111" spans="1:28" ht="12.75" customHeight="1" x14ac:dyDescent="0.25">
      <c r="A1111" s="8"/>
      <c r="B1111" s="326"/>
      <c r="C1111" s="97" t="str">
        <f>IF($C$1="ENG","type:","виконання:")</f>
        <v>виконання:</v>
      </c>
      <c r="D1111" s="331" t="str">
        <f>IF($C$1="ENG","for 1 meter","за 1 пг.м")</f>
        <v>за 1 пг.м</v>
      </c>
      <c r="E1111" s="332"/>
      <c r="F1111" s="331" t="str">
        <f>IF($C$1="ENG","for 1 meter","за 1 пг.м")</f>
        <v>за 1 пг.м</v>
      </c>
      <c r="G1111" s="332"/>
      <c r="H1111" s="36"/>
      <c r="I1111" s="36"/>
      <c r="J1111" s="36"/>
      <c r="K1111" s="36"/>
      <c r="L1111" s="36"/>
      <c r="M1111" s="36"/>
      <c r="N1111" s="36"/>
      <c r="O1111" s="36"/>
    </row>
    <row r="1112" spans="1:28" s="37" customFormat="1" ht="24.75" customHeight="1" x14ac:dyDescent="0.25">
      <c r="B1112" s="43" t="str">
        <f>IF($C$1="ENG","TRANSOM ECO-FIT","ФРАМУГА ECO-FIT")</f>
        <v>ФРАМУГА ECO-FIT</v>
      </c>
      <c r="C1112" s="44"/>
      <c r="D1112" s="26"/>
      <c r="E1112" s="49"/>
      <c r="F1112" s="26"/>
      <c r="G1112" s="49"/>
      <c r="H1112" s="26"/>
      <c r="I1112" s="27"/>
      <c r="J1112" s="111"/>
      <c r="K1112" s="112"/>
      <c r="L1112" s="26"/>
      <c r="M1112" s="27"/>
      <c r="N1112" s="26"/>
      <c r="O1112" s="27"/>
      <c r="P1112" s="27"/>
      <c r="Q1112" s="27"/>
      <c r="S1112" s="27"/>
    </row>
    <row r="1113" spans="1:28" x14ac:dyDescent="0.25">
      <c r="A1113" s="8"/>
      <c r="B1113" s="13" t="str">
        <f>IF($C$1="ENG","A (75 - 95 mm)","A (75 - 95 мм)")</f>
        <v>A (75 - 95 мм)</v>
      </c>
      <c r="C1113" s="113"/>
      <c r="D1113" s="15">
        <f t="shared" ref="D1113:D1123" si="76">IF(U1113="","",(1-$S$2)*(U1113/1.2))</f>
        <v>941.66666666666674</v>
      </c>
      <c r="E1113" s="54">
        <f t="shared" ref="E1113:E1122" si="77">IF($S$5=0.2,D1113*1.2,D1113)/$S$4</f>
        <v>1130</v>
      </c>
      <c r="F1113" s="15">
        <f>IF(V1113="","",(1-$S$2)*(V1113/1.2))</f>
        <v>1141.6666666666667</v>
      </c>
      <c r="G1113" s="54">
        <f>IF($S$5=0.2,F1113*1.2,F1113)/$S$4</f>
        <v>1370</v>
      </c>
      <c r="H1113" s="26"/>
      <c r="I1113" s="49"/>
      <c r="J1113" s="26"/>
      <c r="K1113" s="49"/>
      <c r="L1113" s="26"/>
      <c r="M1113" s="81"/>
      <c r="N1113" s="81"/>
      <c r="O1113" s="82"/>
      <c r="P1113" s="81"/>
      <c r="Q1113" s="82"/>
      <c r="R1113" s="81"/>
      <c r="S1113" s="82"/>
      <c r="U1113" s="315">
        <v>1130</v>
      </c>
      <c r="V1113" s="315">
        <v>1370</v>
      </c>
      <c r="W1113" s="286"/>
      <c r="X1113" s="286"/>
      <c r="Y1113" s="286"/>
      <c r="Z1113" s="286"/>
      <c r="AA1113" s="286"/>
      <c r="AB1113" s="286"/>
    </row>
    <row r="1114" spans="1:28" x14ac:dyDescent="0.25">
      <c r="A1114" s="8"/>
      <c r="B1114" s="16" t="str">
        <f>IF($C$1="ENG","B (95 - 115 mm)","B (95 - 115 мм)")</f>
        <v>B (95 - 115 мм)</v>
      </c>
      <c r="C1114" s="114"/>
      <c r="D1114" s="18">
        <f t="shared" si="76"/>
        <v>1016.6666666666667</v>
      </c>
      <c r="E1114" s="56">
        <f t="shared" si="77"/>
        <v>1220</v>
      </c>
      <c r="F1114" s="15">
        <f t="shared" ref="F1114:F1122" si="78">IF(V1114="","",(1-$S$2)*(V1114/1.2))</f>
        <v>1258.3333333333335</v>
      </c>
      <c r="G1114" s="56">
        <f>IF($S$5=0.2,F1114*1.2,F1114)/$S$4</f>
        <v>1510.0000000000002</v>
      </c>
      <c r="H1114" s="26"/>
      <c r="I1114" s="49"/>
      <c r="J1114" s="26"/>
      <c r="K1114" s="49"/>
      <c r="L1114" s="26"/>
      <c r="M1114" s="81"/>
      <c r="N1114" s="81"/>
      <c r="O1114" s="82"/>
      <c r="P1114" s="81"/>
      <c r="Q1114" s="82"/>
      <c r="R1114" s="81"/>
      <c r="S1114" s="82"/>
      <c r="U1114" s="315">
        <v>1220</v>
      </c>
      <c r="V1114" s="315">
        <v>1510</v>
      </c>
      <c r="W1114" s="286"/>
      <c r="X1114" s="286"/>
      <c r="Y1114" s="286"/>
      <c r="Z1114" s="286"/>
      <c r="AA1114" s="286"/>
      <c r="AB1114" s="286"/>
    </row>
    <row r="1115" spans="1:28" x14ac:dyDescent="0.25">
      <c r="A1115" s="8"/>
      <c r="B1115" s="16" t="str">
        <f>IF($C$1="ENG","B+ (100 - 120 mm)","B+ (100 - 120 мм)")</f>
        <v>B+ (100 - 120 мм)</v>
      </c>
      <c r="C1115" s="114"/>
      <c r="D1115" s="18">
        <f>IF(U1115="","",(1-$S$2)*(U1115/1.2))</f>
        <v>1058.3333333333335</v>
      </c>
      <c r="E1115" s="56">
        <f>IF($S$5=0.2,D1115*1.2,D1115)/$S$4</f>
        <v>1270.0000000000002</v>
      </c>
      <c r="F1115" s="15">
        <f t="shared" si="78"/>
        <v>1300</v>
      </c>
      <c r="G1115" s="56">
        <f>IF($S$5=0.2,F1115*1.2,F1115)/$S$4</f>
        <v>1560</v>
      </c>
      <c r="H1115" s="26"/>
      <c r="I1115" s="49"/>
      <c r="J1115" s="26"/>
      <c r="K1115" s="49"/>
      <c r="L1115" s="26"/>
      <c r="M1115" s="81"/>
      <c r="N1115" s="81"/>
      <c r="O1115" s="82"/>
      <c r="P1115" s="81"/>
      <c r="Q1115" s="82"/>
      <c r="R1115" s="81"/>
      <c r="S1115" s="82"/>
      <c r="U1115" s="315">
        <v>1270</v>
      </c>
      <c r="V1115" s="315">
        <v>1560</v>
      </c>
      <c r="W1115" s="286"/>
      <c r="X1115" s="286"/>
      <c r="Y1115" s="286"/>
      <c r="Z1115" s="286"/>
      <c r="AA1115" s="286"/>
      <c r="AB1115" s="286"/>
    </row>
    <row r="1116" spans="1:28" x14ac:dyDescent="0.25">
      <c r="A1116" s="8"/>
      <c r="B1116" s="16" t="str">
        <f>IF($C$1="ENG","C (120 - 140 mm)","C (120 - 140 мм)")</f>
        <v>C (120 - 140 мм)</v>
      </c>
      <c r="C1116" s="114"/>
      <c r="D1116" s="18">
        <f t="shared" si="76"/>
        <v>1100</v>
      </c>
      <c r="E1116" s="56">
        <f t="shared" si="77"/>
        <v>1320</v>
      </c>
      <c r="F1116" s="15">
        <f t="shared" si="78"/>
        <v>1350</v>
      </c>
      <c r="G1116" s="56">
        <f t="shared" ref="G1116:G1122" si="79">IF($S$5=0.2,F1116*1.2,F1116)/$S$4</f>
        <v>1620</v>
      </c>
      <c r="H1116" s="26"/>
      <c r="I1116" s="49"/>
      <c r="J1116" s="26"/>
      <c r="K1116" s="49"/>
      <c r="L1116" s="26"/>
      <c r="M1116" s="81"/>
      <c r="N1116" s="81"/>
      <c r="O1116" s="82"/>
      <c r="P1116" s="81"/>
      <c r="Q1116" s="82"/>
      <c r="R1116" s="81"/>
      <c r="S1116" s="82"/>
      <c r="U1116" s="315">
        <v>1320</v>
      </c>
      <c r="V1116" s="315">
        <v>1620</v>
      </c>
      <c r="W1116" s="286"/>
      <c r="X1116" s="286"/>
      <c r="Y1116" s="286"/>
      <c r="Z1116" s="286"/>
      <c r="AA1116" s="286"/>
      <c r="AB1116" s="286"/>
    </row>
    <row r="1117" spans="1:28" x14ac:dyDescent="0.25">
      <c r="A1117" s="8"/>
      <c r="B1117" s="16" t="str">
        <f>IF($C$1="ENG","D (140 - 160 mm)","D (140 - 160 мм)")</f>
        <v>D (140 - 160 мм)</v>
      </c>
      <c r="C1117" s="114"/>
      <c r="D1117" s="18">
        <f t="shared" si="76"/>
        <v>1175</v>
      </c>
      <c r="E1117" s="56">
        <f t="shared" si="77"/>
        <v>1410</v>
      </c>
      <c r="F1117" s="15">
        <f t="shared" si="78"/>
        <v>1466.6666666666667</v>
      </c>
      <c r="G1117" s="56">
        <f t="shared" si="79"/>
        <v>1760</v>
      </c>
      <c r="H1117" s="26"/>
      <c r="I1117" s="49"/>
      <c r="J1117" s="26"/>
      <c r="K1117" s="49"/>
      <c r="L1117" s="26"/>
      <c r="M1117" s="81"/>
      <c r="N1117" s="81"/>
      <c r="O1117" s="82"/>
      <c r="P1117" s="81"/>
      <c r="Q1117" s="82"/>
      <c r="R1117" s="81"/>
      <c r="S1117" s="82"/>
      <c r="U1117" s="315">
        <v>1410</v>
      </c>
      <c r="V1117" s="315">
        <v>1760</v>
      </c>
      <c r="W1117" s="286"/>
      <c r="X1117" s="286"/>
      <c r="Y1117" s="286"/>
      <c r="Z1117" s="286"/>
      <c r="AA1117" s="286"/>
      <c r="AB1117" s="286"/>
    </row>
    <row r="1118" spans="1:28" x14ac:dyDescent="0.25">
      <c r="A1118" s="8"/>
      <c r="B1118" s="16" t="str">
        <f>IF($C$1="ENG","E (160 - 180 mm)","E (160 - 180 мм)")</f>
        <v>E (160 - 180 мм)</v>
      </c>
      <c r="C1118" s="114"/>
      <c r="D1118" s="18">
        <f t="shared" si="76"/>
        <v>1266.6666666666667</v>
      </c>
      <c r="E1118" s="56">
        <f t="shared" si="77"/>
        <v>1520</v>
      </c>
      <c r="F1118" s="15">
        <f t="shared" si="78"/>
        <v>1583.3333333333335</v>
      </c>
      <c r="G1118" s="56">
        <f t="shared" si="79"/>
        <v>1900</v>
      </c>
      <c r="H1118" s="26"/>
      <c r="I1118" s="49"/>
      <c r="J1118" s="26"/>
      <c r="K1118" s="49"/>
      <c r="L1118" s="26"/>
      <c r="M1118" s="81"/>
      <c r="N1118" s="81"/>
      <c r="O1118" s="82"/>
      <c r="P1118" s="81"/>
      <c r="Q1118" s="82"/>
      <c r="R1118" s="81"/>
      <c r="S1118" s="82"/>
      <c r="U1118" s="315">
        <v>1520</v>
      </c>
      <c r="V1118" s="315">
        <v>1900</v>
      </c>
      <c r="W1118" s="286"/>
      <c r="X1118" s="286"/>
      <c r="Y1118" s="286"/>
      <c r="Z1118" s="286"/>
      <c r="AA1118" s="286"/>
      <c r="AB1118" s="286"/>
    </row>
    <row r="1119" spans="1:28" x14ac:dyDescent="0.25">
      <c r="A1119" s="8"/>
      <c r="B1119" s="16" t="str">
        <f>IF($C$1="ENG","F (180 - 200 mm)","F (180 - 200 мм)")</f>
        <v>F (180 - 200 мм)</v>
      </c>
      <c r="C1119" s="114"/>
      <c r="D1119" s="18">
        <f t="shared" si="76"/>
        <v>1341.6666666666665</v>
      </c>
      <c r="E1119" s="56">
        <f t="shared" si="77"/>
        <v>1609.9999999999998</v>
      </c>
      <c r="F1119" s="15">
        <f t="shared" si="78"/>
        <v>1675</v>
      </c>
      <c r="G1119" s="56">
        <f t="shared" si="79"/>
        <v>2010</v>
      </c>
      <c r="H1119" s="26"/>
      <c r="I1119" s="49"/>
      <c r="J1119" s="26"/>
      <c r="K1119" s="49"/>
      <c r="L1119" s="26"/>
      <c r="M1119" s="81"/>
      <c r="N1119" s="81"/>
      <c r="O1119" s="82"/>
      <c r="P1119" s="81"/>
      <c r="Q1119" s="82"/>
      <c r="R1119" s="81"/>
      <c r="S1119" s="82"/>
      <c r="U1119" s="315">
        <v>1609.9999999999998</v>
      </c>
      <c r="V1119" s="315">
        <v>2010</v>
      </c>
      <c r="W1119" s="286"/>
      <c r="X1119" s="286"/>
      <c r="Y1119" s="286"/>
      <c r="Z1119" s="286"/>
      <c r="AA1119" s="286"/>
      <c r="AB1119" s="286"/>
    </row>
    <row r="1120" spans="1:28" x14ac:dyDescent="0.25">
      <c r="A1120" s="8"/>
      <c r="B1120" s="16" t="str">
        <f>IF($C$1="ENG","G (200 - 220 mm)","G (200 - 220 мм)")</f>
        <v>G (200 - 220 мм)</v>
      </c>
      <c r="C1120" s="114"/>
      <c r="D1120" s="18">
        <f t="shared" si="76"/>
        <v>1425</v>
      </c>
      <c r="E1120" s="56">
        <f t="shared" si="77"/>
        <v>1710</v>
      </c>
      <c r="F1120" s="15">
        <f t="shared" si="78"/>
        <v>1800</v>
      </c>
      <c r="G1120" s="56">
        <f t="shared" si="79"/>
        <v>2160</v>
      </c>
      <c r="H1120" s="26"/>
      <c r="I1120" s="49"/>
      <c r="J1120" s="26"/>
      <c r="K1120" s="49"/>
      <c r="L1120" s="26"/>
      <c r="M1120" s="81"/>
      <c r="N1120" s="81"/>
      <c r="O1120" s="82"/>
      <c r="P1120" s="81"/>
      <c r="Q1120" s="82"/>
      <c r="R1120" s="81"/>
      <c r="S1120" s="82"/>
      <c r="U1120" s="315">
        <v>1710</v>
      </c>
      <c r="V1120" s="315">
        <v>2160</v>
      </c>
      <c r="W1120" s="286"/>
      <c r="X1120" s="286"/>
      <c r="Y1120" s="286"/>
      <c r="Z1120" s="286"/>
      <c r="AA1120" s="286"/>
      <c r="AB1120" s="286"/>
    </row>
    <row r="1121" spans="1:28" x14ac:dyDescent="0.25">
      <c r="A1121" s="8"/>
      <c r="B1121" s="16" t="str">
        <f>IF($C$1="ENG","H (220 - 240 mm)","H (220 - 240 мм)")</f>
        <v>H (220 - 240 мм)</v>
      </c>
      <c r="C1121" s="114"/>
      <c r="D1121" s="18">
        <f t="shared" si="76"/>
        <v>1508.3333333333335</v>
      </c>
      <c r="E1121" s="56">
        <f t="shared" si="77"/>
        <v>1810.0000000000002</v>
      </c>
      <c r="F1121" s="15">
        <f t="shared" si="78"/>
        <v>1900</v>
      </c>
      <c r="G1121" s="56">
        <f t="shared" si="79"/>
        <v>2280</v>
      </c>
      <c r="H1121" s="26"/>
      <c r="I1121" s="49"/>
      <c r="J1121" s="26"/>
      <c r="K1121" s="49"/>
      <c r="L1121" s="26"/>
      <c r="M1121" s="81"/>
      <c r="N1121" s="81"/>
      <c r="O1121" s="82"/>
      <c r="P1121" s="81"/>
      <c r="Q1121" s="82"/>
      <c r="R1121" s="81"/>
      <c r="S1121" s="82"/>
      <c r="U1121" s="315">
        <v>1810</v>
      </c>
      <c r="V1121" s="315">
        <v>2280</v>
      </c>
      <c r="W1121" s="286"/>
      <c r="X1121" s="286"/>
      <c r="Y1121" s="286"/>
      <c r="Z1121" s="286"/>
      <c r="AA1121" s="286"/>
      <c r="AB1121" s="286"/>
    </row>
    <row r="1122" spans="1:28" x14ac:dyDescent="0.25">
      <c r="A1122" s="8"/>
      <c r="B1122" s="21" t="str">
        <f>IF($C$1="ENG","I (240 - 260 mm)","I (240 - 260 мм)")</f>
        <v>I (240 - 260 мм)</v>
      </c>
      <c r="C1122" s="115"/>
      <c r="D1122" s="23">
        <f t="shared" si="76"/>
        <v>1591.6666666666667</v>
      </c>
      <c r="E1122" s="59">
        <f t="shared" si="77"/>
        <v>1910</v>
      </c>
      <c r="F1122" s="15">
        <f t="shared" si="78"/>
        <v>2000</v>
      </c>
      <c r="G1122" s="59">
        <f t="shared" si="79"/>
        <v>2400</v>
      </c>
      <c r="H1122" s="26"/>
      <c r="I1122" s="49"/>
      <c r="J1122" s="26"/>
      <c r="K1122" s="49"/>
      <c r="L1122" s="26"/>
      <c r="M1122" s="81"/>
      <c r="N1122" s="81"/>
      <c r="O1122" s="82"/>
      <c r="P1122" s="81"/>
      <c r="Q1122" s="82"/>
      <c r="R1122" s="81"/>
      <c r="S1122" s="82"/>
      <c r="U1122" s="315">
        <v>1910</v>
      </c>
      <c r="V1122" s="315">
        <v>2400</v>
      </c>
      <c r="W1122" s="286"/>
      <c r="X1122" s="286"/>
      <c r="Y1122" s="286"/>
      <c r="Z1122" s="286"/>
      <c r="AA1122" s="286"/>
      <c r="AB1122" s="286"/>
    </row>
    <row r="1123" spans="1:28" x14ac:dyDescent="0.25">
      <c r="C1123" s="24"/>
      <c r="D1123" s="24" t="str">
        <f t="shared" si="76"/>
        <v/>
      </c>
      <c r="E1123" s="46"/>
      <c r="F1123" s="24"/>
      <c r="G1123" s="46"/>
      <c r="H1123" s="50"/>
      <c r="I1123" s="37"/>
      <c r="J1123" s="37"/>
      <c r="K1123" s="37"/>
      <c r="L1123" s="37"/>
      <c r="M1123" s="37"/>
      <c r="N1123" s="37"/>
      <c r="O1123" s="37"/>
    </row>
    <row r="1124" spans="1:28" x14ac:dyDescent="0.25">
      <c r="B1124" s="155" t="str">
        <f>IF($C$1="ENG","For additonal charge:","Послуги за додаткову плату:")</f>
        <v>Послуги за додаткову плату:</v>
      </c>
      <c r="C1124" s="156"/>
      <c r="D1124" s="156"/>
      <c r="E1124" s="157"/>
      <c r="F1124" s="24"/>
      <c r="G1124" s="46"/>
      <c r="H1124" s="5"/>
      <c r="J1124" s="37"/>
      <c r="K1124" s="37"/>
      <c r="L1124" s="37"/>
      <c r="M1124" s="37"/>
      <c r="N1124" s="37"/>
      <c r="O1124" s="37"/>
    </row>
    <row r="1125" spans="1:28" ht="5.0999999999999996" customHeight="1" x14ac:dyDescent="0.25">
      <c r="B1125" s="25"/>
      <c r="C1125" s="24"/>
      <c r="D1125" s="24"/>
      <c r="E1125" s="46"/>
      <c r="F1125" s="24"/>
      <c r="G1125" s="46"/>
      <c r="H1125" s="5"/>
    </row>
    <row r="1126" spans="1:28" x14ac:dyDescent="0.25">
      <c r="B1126" s="204" t="str">
        <f>IF($C$1="ENG","Glazing types:","Вид скління:")</f>
        <v>Вид скління:</v>
      </c>
      <c r="C1126" s="201" t="str">
        <f>IF($C$1="ENG","MDF","Фільонка")</f>
        <v>Фільонка</v>
      </c>
      <c r="D1126" s="78">
        <f>IF(U1126="","",(1-$S$2)*(U1126/1.2))</f>
        <v>1166.6666666666667</v>
      </c>
      <c r="E1126" s="54">
        <f>IF($S$5=0.2,D1126*1.2,D1126)/$S$4</f>
        <v>1400</v>
      </c>
      <c r="F1126" s="24"/>
      <c r="G1126" s="46"/>
      <c r="H1126" s="186"/>
      <c r="L1126" s="81"/>
      <c r="M1126" s="82"/>
      <c r="N1126" s="81"/>
      <c r="O1126" s="82"/>
      <c r="P1126" s="81"/>
      <c r="Q1126" s="82"/>
      <c r="R1126" s="81"/>
      <c r="S1126" s="82"/>
      <c r="U1126" s="286">
        <v>1400</v>
      </c>
      <c r="V1126" s="286"/>
      <c r="W1126" s="286"/>
      <c r="X1126" s="286"/>
      <c r="Y1126" s="286"/>
      <c r="Z1126" s="286"/>
      <c r="AA1126" s="286"/>
      <c r="AB1126" s="286"/>
    </row>
    <row r="1127" spans="1:28" x14ac:dyDescent="0.25">
      <c r="B1127" s="203" t="str">
        <f>IF($C$1="ENG","price per 1 sq.m","ціна за 1 кв.м")</f>
        <v>ціна за 1 кв.м</v>
      </c>
      <c r="C1127" s="202" t="str">
        <f>IF($C$1="ENG","Satin","Сатин")</f>
        <v>Сатин</v>
      </c>
      <c r="D1127" s="79">
        <f>IF(U1127="","",(1-$S$2)*(U1127/1.2))</f>
        <v>1075</v>
      </c>
      <c r="E1127" s="59">
        <f>IF($S$5=0.2,D1127*1.2,D1127)/$S$4</f>
        <v>1290</v>
      </c>
      <c r="F1127" s="24"/>
      <c r="G1127" s="46"/>
      <c r="H1127" s="186"/>
      <c r="L1127" s="81"/>
      <c r="M1127" s="82"/>
      <c r="U1127" s="286">
        <v>1290</v>
      </c>
      <c r="V1127" s="286"/>
      <c r="W1127" s="286"/>
      <c r="X1127" s="286"/>
      <c r="Y1127" s="286"/>
      <c r="Z1127" s="286"/>
      <c r="AA1127" s="286"/>
      <c r="AB1127" s="286"/>
    </row>
    <row r="1128" spans="1:28" ht="14.25" customHeight="1" x14ac:dyDescent="0.25">
      <c r="C1128" s="24"/>
      <c r="D1128" s="24"/>
      <c r="E1128" s="46"/>
      <c r="F1128" s="24"/>
      <c r="G1128" s="24"/>
      <c r="H1128" s="5"/>
      <c r="P1128" s="336" t="str">
        <f>IF($C$1="ENG",CONCATENATE("down to: ",B1192),CONCATENATE("вниз до: ",B1192))</f>
        <v>вниз до: Дверні Ручки та Комплектуючі</v>
      </c>
      <c r="Q1128" s="336"/>
      <c r="R1128" s="336"/>
      <c r="S1128" s="336"/>
    </row>
    <row r="1129" spans="1:28" ht="14.25" customHeight="1" x14ac:dyDescent="0.25">
      <c r="C1129" s="24"/>
      <c r="D1129" s="24"/>
      <c r="E1129" s="24"/>
      <c r="F1129" s="24"/>
      <c r="G1129" s="24"/>
      <c r="H1129" s="5"/>
    </row>
    <row r="1130" spans="1:28" ht="14.25" customHeight="1" x14ac:dyDescent="0.25">
      <c r="C1130" s="24"/>
      <c r="D1130" s="24"/>
      <c r="E1130" s="24"/>
      <c r="F1130" s="24"/>
      <c r="G1130" s="24"/>
      <c r="H1130" s="5"/>
    </row>
    <row r="1131" spans="1:28" ht="14.25" customHeight="1" x14ac:dyDescent="0.25">
      <c r="C1131" s="24"/>
      <c r="D1131" s="24"/>
      <c r="E1131" s="24"/>
      <c r="F1131" s="24"/>
      <c r="G1131" s="24"/>
      <c r="H1131" s="5"/>
    </row>
    <row r="1132" spans="1:28" ht="14.25" customHeight="1" x14ac:dyDescent="0.25">
      <c r="C1132" s="24"/>
      <c r="D1132" s="24"/>
      <c r="E1132" s="24"/>
      <c r="F1132" s="24"/>
      <c r="G1132" s="24"/>
      <c r="H1132" s="5"/>
    </row>
    <row r="1133" spans="1:28" ht="14.25" customHeight="1" x14ac:dyDescent="0.25">
      <c r="C1133" s="24"/>
      <c r="D1133" s="24"/>
      <c r="E1133" s="24"/>
      <c r="F1133" s="24"/>
      <c r="G1133" s="24"/>
      <c r="H1133" s="5"/>
    </row>
    <row r="1134" spans="1:28" ht="14.25" customHeight="1" x14ac:dyDescent="0.25">
      <c r="C1134" s="24"/>
      <c r="D1134" s="24"/>
      <c r="E1134" s="24"/>
      <c r="F1134" s="24"/>
      <c r="G1134" s="24"/>
      <c r="H1134" s="5"/>
    </row>
    <row r="1135" spans="1:28" ht="14.25" customHeight="1" x14ac:dyDescent="0.25">
      <c r="C1135" s="24"/>
      <c r="D1135" s="24"/>
      <c r="E1135" s="24"/>
      <c r="F1135" s="24"/>
      <c r="G1135" s="24"/>
      <c r="H1135" s="5"/>
    </row>
    <row r="1136" spans="1:28" ht="14.25" customHeight="1" x14ac:dyDescent="0.25">
      <c r="C1136" s="24"/>
      <c r="D1136" s="24"/>
      <c r="E1136" s="24"/>
      <c r="F1136" s="24"/>
      <c r="G1136" s="24"/>
      <c r="H1136" s="5"/>
    </row>
    <row r="1137" spans="3:8" ht="14.25" customHeight="1" x14ac:dyDescent="0.25">
      <c r="C1137" s="24"/>
      <c r="D1137" s="24"/>
      <c r="E1137" s="24"/>
      <c r="F1137" s="24"/>
      <c r="G1137" s="24"/>
      <c r="H1137" s="5"/>
    </row>
    <row r="1138" spans="3:8" ht="14.25" customHeight="1" x14ac:dyDescent="0.25">
      <c r="C1138" s="24"/>
      <c r="D1138" s="24"/>
      <c r="E1138" s="24"/>
      <c r="F1138" s="24"/>
      <c r="G1138" s="24"/>
      <c r="H1138" s="5"/>
    </row>
    <row r="1139" spans="3:8" ht="14.25" customHeight="1" x14ac:dyDescent="0.25">
      <c r="C1139" s="24"/>
      <c r="D1139" s="24"/>
      <c r="E1139" s="24"/>
      <c r="F1139" s="24"/>
      <c r="G1139" s="24"/>
      <c r="H1139" s="5"/>
    </row>
    <row r="1140" spans="3:8" ht="14.25" customHeight="1" x14ac:dyDescent="0.25">
      <c r="C1140" s="24"/>
      <c r="D1140" s="24"/>
      <c r="E1140" s="24"/>
      <c r="F1140" s="24"/>
      <c r="G1140" s="24"/>
      <c r="H1140" s="5"/>
    </row>
    <row r="1141" spans="3:8" ht="14.25" customHeight="1" x14ac:dyDescent="0.25">
      <c r="C1141" s="24"/>
      <c r="D1141" s="24"/>
      <c r="E1141" s="24"/>
      <c r="F1141" s="24"/>
      <c r="G1141" s="24"/>
      <c r="H1141" s="5"/>
    </row>
    <row r="1142" spans="3:8" ht="14.25" customHeight="1" x14ac:dyDescent="0.25">
      <c r="C1142" s="24"/>
      <c r="D1142" s="24"/>
      <c r="E1142" s="24"/>
      <c r="F1142" s="24"/>
      <c r="G1142" s="24"/>
      <c r="H1142" s="5"/>
    </row>
    <row r="1143" spans="3:8" ht="14.25" customHeight="1" x14ac:dyDescent="0.25">
      <c r="C1143" s="24"/>
      <c r="D1143" s="24"/>
      <c r="E1143" s="24"/>
      <c r="F1143" s="24"/>
      <c r="G1143" s="24"/>
      <c r="H1143" s="5"/>
    </row>
    <row r="1144" spans="3:8" ht="14.25" customHeight="1" x14ac:dyDescent="0.25">
      <c r="C1144" s="24"/>
      <c r="D1144" s="24"/>
      <c r="E1144" s="24"/>
      <c r="F1144" s="24"/>
      <c r="G1144" s="24"/>
      <c r="H1144" s="5"/>
    </row>
    <row r="1145" spans="3:8" ht="14.25" customHeight="1" x14ac:dyDescent="0.25">
      <c r="C1145" s="24"/>
      <c r="D1145" s="24"/>
      <c r="E1145" s="24"/>
      <c r="F1145" s="24"/>
      <c r="G1145" s="24"/>
      <c r="H1145" s="5"/>
    </row>
    <row r="1146" spans="3:8" ht="14.25" customHeight="1" x14ac:dyDescent="0.25">
      <c r="C1146" s="24"/>
      <c r="D1146" s="24"/>
      <c r="E1146" s="24"/>
      <c r="F1146" s="24"/>
      <c r="G1146" s="24"/>
      <c r="H1146" s="5"/>
    </row>
    <row r="1147" spans="3:8" ht="14.25" customHeight="1" x14ac:dyDescent="0.25">
      <c r="C1147" s="24"/>
      <c r="D1147" s="24"/>
      <c r="E1147" s="24"/>
      <c r="F1147" s="24"/>
      <c r="G1147" s="24"/>
      <c r="H1147" s="5"/>
    </row>
    <row r="1148" spans="3:8" ht="14.25" customHeight="1" x14ac:dyDescent="0.25">
      <c r="C1148" s="24"/>
      <c r="D1148" s="24"/>
      <c r="E1148" s="24"/>
      <c r="F1148" s="24"/>
      <c r="G1148" s="24"/>
      <c r="H1148" s="5"/>
    </row>
    <row r="1149" spans="3:8" ht="14.25" customHeight="1" x14ac:dyDescent="0.25">
      <c r="C1149" s="24"/>
      <c r="D1149" s="24"/>
      <c r="E1149" s="24"/>
      <c r="F1149" s="24"/>
      <c r="G1149" s="24"/>
      <c r="H1149" s="5"/>
    </row>
    <row r="1150" spans="3:8" ht="14.25" customHeight="1" x14ac:dyDescent="0.25">
      <c r="C1150" s="24"/>
      <c r="D1150" s="24"/>
      <c r="E1150" s="24"/>
      <c r="F1150" s="24"/>
      <c r="G1150" s="24"/>
      <c r="H1150" s="5"/>
    </row>
    <row r="1151" spans="3:8" ht="14.25" customHeight="1" x14ac:dyDescent="0.25">
      <c r="C1151" s="24"/>
      <c r="D1151" s="24"/>
      <c r="E1151" s="24"/>
      <c r="F1151" s="24"/>
      <c r="G1151" s="24"/>
      <c r="H1151" s="5"/>
    </row>
    <row r="1152" spans="3:8" ht="14.25" customHeight="1" x14ac:dyDescent="0.25">
      <c r="C1152" s="24"/>
      <c r="D1152" s="24"/>
      <c r="E1152" s="24"/>
      <c r="F1152" s="24"/>
      <c r="G1152" s="24"/>
      <c r="H1152" s="5"/>
    </row>
    <row r="1153" spans="3:8" ht="14.25" customHeight="1" x14ac:dyDescent="0.25">
      <c r="C1153" s="24"/>
      <c r="D1153" s="24"/>
      <c r="E1153" s="24"/>
      <c r="F1153" s="24"/>
      <c r="G1153" s="24"/>
      <c r="H1153" s="5"/>
    </row>
    <row r="1154" spans="3:8" ht="14.25" customHeight="1" x14ac:dyDescent="0.25">
      <c r="C1154" s="24"/>
      <c r="D1154" s="24"/>
      <c r="E1154" s="24"/>
      <c r="F1154" s="24"/>
      <c r="G1154" s="24"/>
      <c r="H1154" s="5"/>
    </row>
    <row r="1155" spans="3:8" ht="14.25" customHeight="1" x14ac:dyDescent="0.25">
      <c r="C1155" s="24"/>
      <c r="D1155" s="24"/>
      <c r="E1155" s="24"/>
      <c r="F1155" s="24"/>
      <c r="G1155" s="24"/>
      <c r="H1155" s="5"/>
    </row>
    <row r="1156" spans="3:8" ht="14.25" customHeight="1" x14ac:dyDescent="0.25">
      <c r="C1156" s="24"/>
      <c r="D1156" s="24"/>
      <c r="E1156" s="24"/>
      <c r="F1156" s="24"/>
      <c r="G1156" s="24"/>
      <c r="H1156" s="5"/>
    </row>
    <row r="1157" spans="3:8" ht="14.25" customHeight="1" x14ac:dyDescent="0.25">
      <c r="C1157" s="24"/>
      <c r="D1157" s="24"/>
      <c r="E1157" s="24"/>
      <c r="F1157" s="24"/>
      <c r="G1157" s="24"/>
      <c r="H1157" s="5"/>
    </row>
    <row r="1158" spans="3:8" ht="14.25" customHeight="1" x14ac:dyDescent="0.25">
      <c r="C1158" s="24"/>
      <c r="D1158" s="24"/>
      <c r="E1158" s="24"/>
      <c r="F1158" s="24"/>
      <c r="G1158" s="24"/>
      <c r="H1158" s="5"/>
    </row>
    <row r="1159" spans="3:8" ht="14.25" customHeight="1" x14ac:dyDescent="0.25">
      <c r="C1159" s="24"/>
      <c r="D1159" s="24"/>
      <c r="E1159" s="24"/>
      <c r="F1159" s="24"/>
      <c r="G1159" s="24"/>
      <c r="H1159" s="5"/>
    </row>
    <row r="1160" spans="3:8" ht="14.25" customHeight="1" x14ac:dyDescent="0.25">
      <c r="C1160" s="24"/>
      <c r="D1160" s="24"/>
      <c r="E1160" s="24"/>
      <c r="F1160" s="24"/>
      <c r="G1160" s="24"/>
      <c r="H1160" s="5"/>
    </row>
    <row r="1161" spans="3:8" ht="14.25" customHeight="1" x14ac:dyDescent="0.25">
      <c r="C1161" s="24"/>
      <c r="D1161" s="24"/>
      <c r="E1161" s="24"/>
      <c r="F1161" s="24"/>
      <c r="G1161" s="24"/>
      <c r="H1161" s="5"/>
    </row>
    <row r="1162" spans="3:8" ht="14.25" customHeight="1" x14ac:dyDescent="0.25">
      <c r="C1162" s="24"/>
      <c r="D1162" s="24"/>
      <c r="E1162" s="24"/>
      <c r="F1162" s="24"/>
      <c r="G1162" s="24"/>
      <c r="H1162" s="5"/>
    </row>
    <row r="1163" spans="3:8" ht="14.25" customHeight="1" x14ac:dyDescent="0.25">
      <c r="C1163" s="24"/>
      <c r="D1163" s="24"/>
      <c r="E1163" s="24"/>
      <c r="F1163" s="24"/>
      <c r="G1163" s="24"/>
      <c r="H1163" s="5"/>
    </row>
    <row r="1164" spans="3:8" ht="14.25" customHeight="1" x14ac:dyDescent="0.25">
      <c r="C1164" s="24"/>
      <c r="D1164" s="24"/>
      <c r="E1164" s="24"/>
      <c r="F1164" s="24"/>
      <c r="G1164" s="24"/>
      <c r="H1164" s="5"/>
    </row>
    <row r="1165" spans="3:8" ht="14.25" customHeight="1" x14ac:dyDescent="0.25">
      <c r="C1165" s="24"/>
      <c r="D1165" s="24"/>
      <c r="E1165" s="24"/>
      <c r="F1165" s="24"/>
      <c r="G1165" s="24"/>
      <c r="H1165" s="5"/>
    </row>
    <row r="1166" spans="3:8" ht="14.25" customHeight="1" x14ac:dyDescent="0.25">
      <c r="C1166" s="24"/>
      <c r="D1166" s="24"/>
      <c r="E1166" s="24"/>
      <c r="F1166" s="24"/>
      <c r="G1166" s="24"/>
      <c r="H1166" s="5"/>
    </row>
    <row r="1167" spans="3:8" ht="14.25" customHeight="1" x14ac:dyDescent="0.25">
      <c r="C1167" s="24"/>
      <c r="D1167" s="24"/>
      <c r="E1167" s="24"/>
      <c r="F1167" s="24"/>
      <c r="G1167" s="24"/>
      <c r="H1167" s="5"/>
    </row>
    <row r="1168" spans="3:8" ht="14.25" customHeight="1" x14ac:dyDescent="0.25">
      <c r="C1168" s="24"/>
      <c r="D1168" s="24"/>
      <c r="E1168" s="24"/>
      <c r="F1168" s="24"/>
      <c r="G1168" s="24"/>
      <c r="H1168" s="5"/>
    </row>
    <row r="1169" spans="3:8" ht="14.25" customHeight="1" x14ac:dyDescent="0.25">
      <c r="C1169" s="24"/>
      <c r="D1169" s="24"/>
      <c r="E1169" s="24"/>
      <c r="F1169" s="24"/>
      <c r="G1169" s="24"/>
      <c r="H1169" s="5"/>
    </row>
    <row r="1170" spans="3:8" ht="14.25" customHeight="1" x14ac:dyDescent="0.25">
      <c r="C1170" s="24"/>
      <c r="D1170" s="24"/>
      <c r="E1170" s="24"/>
      <c r="F1170" s="24"/>
      <c r="G1170" s="24"/>
      <c r="H1170" s="5"/>
    </row>
    <row r="1171" spans="3:8" ht="14.25" customHeight="1" x14ac:dyDescent="0.25">
      <c r="C1171" s="24"/>
      <c r="D1171" s="24"/>
      <c r="E1171" s="24"/>
      <c r="F1171" s="24"/>
      <c r="G1171" s="24"/>
      <c r="H1171" s="5"/>
    </row>
    <row r="1172" spans="3:8" ht="14.25" customHeight="1" x14ac:dyDescent="0.25">
      <c r="C1172" s="24"/>
      <c r="D1172" s="24"/>
      <c r="E1172" s="24"/>
      <c r="F1172" s="24"/>
      <c r="G1172" s="24"/>
      <c r="H1172" s="5"/>
    </row>
    <row r="1173" spans="3:8" ht="14.25" customHeight="1" x14ac:dyDescent="0.25">
      <c r="C1173" s="24"/>
      <c r="D1173" s="24"/>
      <c r="E1173" s="24"/>
      <c r="F1173" s="24"/>
      <c r="G1173" s="24"/>
      <c r="H1173" s="5"/>
    </row>
    <row r="1174" spans="3:8" ht="14.25" customHeight="1" x14ac:dyDescent="0.25">
      <c r="C1174" s="24"/>
      <c r="D1174" s="24"/>
      <c r="E1174" s="24"/>
      <c r="F1174" s="24"/>
      <c r="G1174" s="24"/>
      <c r="H1174" s="5"/>
    </row>
    <row r="1175" spans="3:8" ht="14.25" customHeight="1" x14ac:dyDescent="0.25">
      <c r="C1175" s="24"/>
      <c r="D1175" s="24"/>
      <c r="E1175" s="24"/>
      <c r="F1175" s="24"/>
      <c r="G1175" s="24"/>
      <c r="H1175" s="5"/>
    </row>
    <row r="1176" spans="3:8" ht="14.25" customHeight="1" x14ac:dyDescent="0.25">
      <c r="C1176" s="24"/>
      <c r="D1176" s="24"/>
      <c r="E1176" s="24"/>
      <c r="F1176" s="24"/>
      <c r="G1176" s="24"/>
      <c r="H1176" s="5"/>
    </row>
    <row r="1177" spans="3:8" ht="14.25" customHeight="1" x14ac:dyDescent="0.25">
      <c r="C1177" s="24"/>
      <c r="D1177" s="24"/>
      <c r="E1177" s="24"/>
      <c r="F1177" s="24"/>
      <c r="G1177" s="24"/>
      <c r="H1177" s="5"/>
    </row>
    <row r="1178" spans="3:8" ht="14.25" customHeight="1" x14ac:dyDescent="0.25">
      <c r="C1178" s="24"/>
      <c r="D1178" s="24"/>
      <c r="E1178" s="24"/>
      <c r="F1178" s="24"/>
      <c r="G1178" s="24"/>
      <c r="H1178" s="5"/>
    </row>
    <row r="1179" spans="3:8" ht="14.25" customHeight="1" x14ac:dyDescent="0.25">
      <c r="C1179" s="24"/>
      <c r="D1179" s="24"/>
      <c r="E1179" s="24"/>
      <c r="F1179" s="24"/>
      <c r="G1179" s="24"/>
      <c r="H1179" s="5"/>
    </row>
    <row r="1180" spans="3:8" ht="14.25" customHeight="1" x14ac:dyDescent="0.25">
      <c r="C1180" s="24"/>
      <c r="D1180" s="24"/>
      <c r="E1180" s="24"/>
      <c r="F1180" s="24"/>
      <c r="G1180" s="24"/>
      <c r="H1180" s="5"/>
    </row>
    <row r="1181" spans="3:8" ht="14.25" customHeight="1" x14ac:dyDescent="0.25">
      <c r="C1181" s="24"/>
      <c r="D1181" s="24"/>
      <c r="E1181" s="24"/>
      <c r="F1181" s="24"/>
      <c r="G1181" s="24"/>
      <c r="H1181" s="5"/>
    </row>
    <row r="1182" spans="3:8" ht="14.25" customHeight="1" x14ac:dyDescent="0.25">
      <c r="C1182" s="24"/>
      <c r="D1182" s="24"/>
      <c r="E1182" s="24"/>
      <c r="F1182" s="24"/>
      <c r="G1182" s="24"/>
      <c r="H1182" s="5"/>
    </row>
    <row r="1183" spans="3:8" ht="14.25" customHeight="1" x14ac:dyDescent="0.25">
      <c r="C1183" s="24"/>
      <c r="D1183" s="24"/>
      <c r="E1183" s="24"/>
      <c r="F1183" s="24"/>
      <c r="G1183" s="24"/>
      <c r="H1183" s="5"/>
    </row>
    <row r="1184" spans="3:8" ht="14.25" customHeight="1" x14ac:dyDescent="0.25">
      <c r="C1184" s="24"/>
      <c r="D1184" s="24"/>
      <c r="E1184" s="24"/>
      <c r="F1184" s="24"/>
      <c r="G1184" s="24"/>
      <c r="H1184" s="5"/>
    </row>
    <row r="1185" spans="1:28" ht="14.25" customHeight="1" x14ac:dyDescent="0.25">
      <c r="C1185" s="24"/>
      <c r="D1185" s="24"/>
      <c r="E1185" s="24"/>
      <c r="F1185" s="24"/>
      <c r="G1185" s="24"/>
      <c r="H1185" s="5"/>
    </row>
    <row r="1186" spans="1:28" ht="14.25" customHeight="1" x14ac:dyDescent="0.25">
      <c r="C1186" s="24"/>
      <c r="D1186" s="24"/>
      <c r="E1186" s="24"/>
      <c r="F1186" s="24"/>
      <c r="G1186" s="24"/>
      <c r="H1186" s="5"/>
    </row>
    <row r="1187" spans="1:28" ht="14.25" customHeight="1" x14ac:dyDescent="0.25">
      <c r="C1187" s="24"/>
      <c r="D1187" s="24"/>
      <c r="E1187" s="24"/>
      <c r="F1187" s="24"/>
      <c r="G1187" s="24"/>
      <c r="H1187" s="5"/>
    </row>
    <row r="1188" spans="1:28" ht="14.25" customHeight="1" x14ac:dyDescent="0.25">
      <c r="C1188" s="24"/>
      <c r="D1188" s="24"/>
      <c r="E1188" s="24"/>
      <c r="F1188" s="24"/>
      <c r="G1188" s="24"/>
      <c r="H1188" s="5"/>
    </row>
    <row r="1189" spans="1:28" ht="14.25" customHeight="1" x14ac:dyDescent="0.25">
      <c r="C1189" s="24"/>
      <c r="D1189" s="24"/>
      <c r="E1189" s="24"/>
      <c r="F1189" s="24"/>
      <c r="G1189" s="24"/>
      <c r="H1189" s="5"/>
    </row>
    <row r="1190" spans="1:28" ht="14.25" customHeight="1" x14ac:dyDescent="0.25">
      <c r="C1190" s="24"/>
      <c r="D1190" s="24"/>
      <c r="E1190" s="24"/>
      <c r="F1190" s="24"/>
      <c r="G1190" s="24"/>
      <c r="H1190" s="5"/>
    </row>
    <row r="1191" spans="1:28" ht="14.25" customHeight="1" x14ac:dyDescent="0.25">
      <c r="C1191" s="24"/>
      <c r="D1191" s="24"/>
      <c r="E1191" s="24"/>
      <c r="F1191" s="24"/>
      <c r="G1191" s="24"/>
      <c r="H1191" s="5"/>
    </row>
    <row r="1192" spans="1:28" s="8" customFormat="1" ht="14.25" customHeight="1" x14ac:dyDescent="0.25">
      <c r="B1192" s="343" t="str">
        <f>TITLE!C32</f>
        <v>Дверні Ручки та Комплектуючі</v>
      </c>
      <c r="C1192" s="321"/>
      <c r="D1192" s="93"/>
      <c r="E1192" s="93"/>
      <c r="F1192" s="93"/>
      <c r="G1192" s="93"/>
      <c r="H1192" s="93"/>
      <c r="I1192" s="94"/>
      <c r="J1192" s="94"/>
      <c r="K1192" s="94"/>
      <c r="L1192" s="94"/>
      <c r="M1192" s="94"/>
      <c r="N1192" s="94"/>
      <c r="O1192" s="94"/>
      <c r="P1192" s="323" t="str">
        <f>IF($C$1="ENG",CONCATENATE("up to: ",B1108),CONCATENATE("вгору до: ",B1108))</f>
        <v>вгору до: Фрамуги</v>
      </c>
      <c r="Q1192" s="323"/>
      <c r="R1192" s="323"/>
      <c r="S1192" s="323"/>
    </row>
    <row r="1193" spans="1:28" s="8" customFormat="1" ht="5.0999999999999996" customHeight="1" x14ac:dyDescent="0.25">
      <c r="B1193" s="91"/>
      <c r="C1193" s="90"/>
      <c r="D1193" s="9"/>
      <c r="E1193" s="9"/>
      <c r="F1193" s="10"/>
      <c r="G1193" s="10"/>
      <c r="H1193" s="10"/>
      <c r="I1193" s="37"/>
      <c r="J1193" s="37"/>
      <c r="K1193" s="37"/>
      <c r="L1193" s="37"/>
      <c r="M1193" s="37"/>
      <c r="N1193" s="37"/>
      <c r="O1193" s="37"/>
      <c r="P1193" s="88"/>
      <c r="Q1193" s="88"/>
      <c r="R1193" s="88"/>
      <c r="S1193" s="88"/>
    </row>
    <row r="1194" spans="1:28" x14ac:dyDescent="0.25">
      <c r="A1194" s="8"/>
      <c r="B1194" s="51" t="str">
        <f>IF($C$1="ENG","model","модель")</f>
        <v>модель</v>
      </c>
      <c r="C1194" s="12" t="str">
        <f>IF($C$1="ENG","cover:","покриття:")</f>
        <v>покриття:</v>
      </c>
      <c r="D1194" s="334" t="str">
        <f>IF($C$1="ENG","Gold","Золото")</f>
        <v>Золото</v>
      </c>
      <c r="E1194" s="335"/>
      <c r="F1194" s="334" t="str">
        <f>IF($C$1="ENG","Silver","Срібло")</f>
        <v>Срібло</v>
      </c>
      <c r="G1194" s="335"/>
      <c r="H1194" s="334" t="str">
        <f>IF($C$1="ENG","Silver mat","Срібло матове")</f>
        <v>Срібло матове</v>
      </c>
      <c r="I1194" s="335"/>
      <c r="L1194" s="36"/>
      <c r="M1194" s="36"/>
      <c r="N1194" s="36"/>
      <c r="O1194" s="36"/>
    </row>
    <row r="1195" spans="1:28" ht="34.5" customHeight="1" x14ac:dyDescent="0.25">
      <c r="A1195" s="8"/>
      <c r="B1195" s="13" t="str">
        <f>IF($C$1="ENG","Door handle VERONA","Ручка VERONA")</f>
        <v>Ручка VERONA</v>
      </c>
      <c r="C1195" s="77"/>
      <c r="D1195" s="15">
        <f>IF(U1195="","",(1-$S$2)*(U1195/1.2))</f>
        <v>3541.666666666667</v>
      </c>
      <c r="E1195" s="54">
        <f>IF($S$5=0.2,D1195*1.2,D1195)/$S$4</f>
        <v>4250</v>
      </c>
      <c r="F1195" s="15">
        <f>IF(V1195="","",(1-$S$2)*(V1195/1.2))</f>
        <v>3541.666666666667</v>
      </c>
      <c r="G1195" s="54"/>
      <c r="H1195" s="15">
        <f>IF(W1195="","",(1-$S$2)*(W1195/1.2))</f>
        <v>3541.666666666667</v>
      </c>
      <c r="I1195" s="54">
        <f>IF($S$5=0.2,H1195*1.2,H1195)/$S$4</f>
        <v>4250</v>
      </c>
      <c r="L1195" s="26"/>
      <c r="M1195" s="49"/>
      <c r="N1195" s="26"/>
      <c r="O1195" s="27"/>
      <c r="P1195" s="34"/>
      <c r="Q1195" s="28"/>
      <c r="S1195" s="20"/>
      <c r="U1195" s="1">
        <v>4250</v>
      </c>
      <c r="V1195" s="1">
        <v>4250</v>
      </c>
      <c r="W1195" s="1">
        <v>4250</v>
      </c>
      <c r="X1195" s="286"/>
      <c r="Y1195" s="286"/>
      <c r="Z1195" s="286"/>
      <c r="AA1195" s="286"/>
      <c r="AB1195" s="286"/>
    </row>
    <row r="1196" spans="1:28" ht="34.5" customHeight="1" x14ac:dyDescent="0.25">
      <c r="A1196" s="8"/>
      <c r="B1196" s="16" t="str">
        <f>IF($C$1="ENG","Door handle MILANO","Ручка MILANO")</f>
        <v>Ручка MILANO</v>
      </c>
      <c r="C1196" s="53"/>
      <c r="D1196" s="18">
        <f>IF(U1196="","",(1-$S$2)*(U1196/1.2))</f>
        <v>3541.666666666667</v>
      </c>
      <c r="E1196" s="56">
        <f>IF($S$5=0.2,D1196*1.2,D1196)/$S$4</f>
        <v>4250</v>
      </c>
      <c r="F1196" s="18">
        <f>IF(V1196="","",(1-$S$2)*(V1196/1.2))</f>
        <v>3541.666666666667</v>
      </c>
      <c r="G1196" s="56"/>
      <c r="H1196" s="18">
        <f>IF(W1196="","",(1-$S$2)*(W1196/1.2))</f>
        <v>3541.666666666667</v>
      </c>
      <c r="I1196" s="56">
        <f>IF($S$5=0.2,H1196*1.2,H1196)/$S$4</f>
        <v>4250</v>
      </c>
      <c r="L1196" s="26"/>
      <c r="M1196" s="49"/>
      <c r="N1196" s="26"/>
      <c r="O1196" s="27"/>
      <c r="P1196" s="34"/>
      <c r="Q1196" s="28"/>
      <c r="S1196" s="28"/>
      <c r="U1196" s="1">
        <v>4250</v>
      </c>
      <c r="V1196" s="1">
        <v>4250</v>
      </c>
      <c r="W1196" s="1">
        <v>4250</v>
      </c>
      <c r="X1196" s="286"/>
      <c r="Y1196" s="286"/>
      <c r="Z1196" s="286"/>
      <c r="AA1196" s="286"/>
      <c r="AB1196" s="286"/>
    </row>
    <row r="1197" spans="1:28" ht="34.5" customHeight="1" x14ac:dyDescent="0.25">
      <c r="B1197" s="16" t="str">
        <f>IF($C$1="ENG","Door handle HANDY","Ручка HANDY")</f>
        <v>Ручка HANDY</v>
      </c>
      <c r="C1197" s="53"/>
      <c r="D1197" s="84">
        <f>IF(U1197="","",(1-$S$2)*(U1197/1.2))</f>
        <v>1725</v>
      </c>
      <c r="E1197" s="56">
        <f>IF($S$5=0.2,D1197*1.2,D1197)/$S$4</f>
        <v>2070</v>
      </c>
      <c r="F1197" s="84">
        <f>IF(V1197="","",(1-$S$2)*(V1197/1.2))</f>
        <v>1725</v>
      </c>
      <c r="G1197" s="56">
        <f>IF($S$5=0.2,F1197*1.2,F1197)/$S$4</f>
        <v>2070</v>
      </c>
      <c r="H1197" s="84">
        <f>IF(W1197="","",(1-$S$2)*(W1197/1.2))</f>
        <v>1725</v>
      </c>
      <c r="I1197" s="56"/>
      <c r="L1197" s="26"/>
      <c r="N1197" s="26"/>
      <c r="U1197" s="1">
        <v>2070</v>
      </c>
      <c r="V1197" s="1">
        <v>2070</v>
      </c>
      <c r="W1197" s="1">
        <v>2070</v>
      </c>
      <c r="X1197" s="286"/>
      <c r="Y1197" s="286"/>
      <c r="Z1197" s="286"/>
      <c r="AA1197" s="286"/>
      <c r="AB1197" s="286"/>
    </row>
    <row r="1198" spans="1:28" ht="34.5" customHeight="1" x14ac:dyDescent="0.25">
      <c r="A1198" s="8"/>
      <c r="B1198" s="16" t="str">
        <f>IF($C$1="ENG","Door handle PRIUS","Ручка PRIUS")</f>
        <v>Ручка PRIUS</v>
      </c>
      <c r="C1198" s="53"/>
      <c r="D1198" s="18">
        <f>IF(U1198="","",(1-$S$2)*(U1198/1.2))</f>
        <v>1725</v>
      </c>
      <c r="E1198" s="56"/>
      <c r="F1198" s="18">
        <f>IF(V1198="","",(1-$S$2)*(V1198/1.2))</f>
        <v>1725</v>
      </c>
      <c r="G1198" s="56">
        <f>IF($S$5=0.2,F1198*1.2,F1198)/$S$4</f>
        <v>2070</v>
      </c>
      <c r="H1198" s="18">
        <f>IF(W1198="","",(1-$S$2)*(W1198/1.2))</f>
        <v>1725</v>
      </c>
      <c r="I1198" s="56">
        <f>IF($S$5=0.2,H1198*1.2,H1198)/$S$4</f>
        <v>2070</v>
      </c>
      <c r="L1198" s="26"/>
      <c r="N1198" s="26"/>
      <c r="O1198" s="27"/>
      <c r="P1198" s="34"/>
      <c r="Q1198" s="28"/>
      <c r="S1198" s="28"/>
      <c r="U1198" s="1">
        <v>2070</v>
      </c>
      <c r="V1198" s="1">
        <v>2070</v>
      </c>
      <c r="W1198" s="1">
        <v>2070</v>
      </c>
      <c r="X1198" s="286"/>
      <c r="Y1198" s="286"/>
      <c r="Z1198" s="286"/>
      <c r="AA1198" s="286"/>
      <c r="AB1198" s="286"/>
    </row>
    <row r="1199" spans="1:28" ht="34.5" customHeight="1" x14ac:dyDescent="0.25">
      <c r="B1199" s="21" t="str">
        <f>IF($C$1="ENG","Door handle OFFICE","Ручка OFFICE")</f>
        <v>Ручка OFFICE</v>
      </c>
      <c r="C1199" s="57"/>
      <c r="D1199" s="23">
        <f>IF(U1199="","",(1-$S$2)*(U1199/1.2))</f>
        <v>825</v>
      </c>
      <c r="E1199" s="59">
        <f>IF($S$5=0.2,D1199*1.2,D1199)/$S$4</f>
        <v>990</v>
      </c>
      <c r="F1199" s="23">
        <f>IF(V1199="","",(1-$S$2)*(V1199/1.2))</f>
        <v>825</v>
      </c>
      <c r="G1199" s="59"/>
      <c r="H1199" s="23">
        <f>IF(W1199="","",(1-$S$2)*(W1199/1.2))</f>
        <v>825</v>
      </c>
      <c r="I1199" s="59">
        <f>IF($S$5=0.2,H1199*1.2,H1199)/$S$4</f>
        <v>990</v>
      </c>
      <c r="L1199" s="26"/>
      <c r="U1199" s="1">
        <v>990</v>
      </c>
      <c r="V1199" s="1">
        <v>990</v>
      </c>
      <c r="W1199" s="1">
        <v>990</v>
      </c>
      <c r="X1199" s="286"/>
      <c r="Y1199" s="286"/>
      <c r="Z1199" s="286"/>
      <c r="AA1199" s="286"/>
      <c r="AB1199" s="286"/>
    </row>
    <row r="1200" spans="1:28" ht="14.25" customHeight="1" x14ac:dyDescent="0.25">
      <c r="C1200" s="24"/>
      <c r="D1200" s="24"/>
      <c r="E1200" s="24"/>
      <c r="F1200" s="24"/>
      <c r="G1200" s="24"/>
      <c r="H1200" s="5"/>
      <c r="P1200" s="341" t="str">
        <f>IF($C$1="ENG",CONCATENATE("down to: ",B1246),CONCATENATE("вниз до: ",B1246))</f>
        <v>вниз до: Інші Аксесуари</v>
      </c>
      <c r="Q1200" s="341"/>
      <c r="R1200" s="341"/>
      <c r="S1200" s="341"/>
    </row>
    <row r="1201" spans="3:8" ht="14.25" customHeight="1" x14ac:dyDescent="0.25">
      <c r="C1201" s="24"/>
      <c r="D1201" s="24"/>
      <c r="E1201" s="24"/>
      <c r="F1201" s="24"/>
      <c r="G1201" s="24"/>
      <c r="H1201" s="5"/>
    </row>
    <row r="1202" spans="3:8" ht="14.25" customHeight="1" x14ac:dyDescent="0.25">
      <c r="C1202" s="24"/>
      <c r="D1202" s="24"/>
      <c r="E1202" s="24"/>
      <c r="F1202" s="24"/>
      <c r="G1202" s="24"/>
      <c r="H1202" s="5"/>
    </row>
    <row r="1203" spans="3:8" ht="14.25" customHeight="1" x14ac:dyDescent="0.25">
      <c r="C1203" s="24"/>
      <c r="D1203" s="24"/>
      <c r="E1203" s="24"/>
      <c r="F1203" s="24"/>
      <c r="G1203" s="24"/>
      <c r="H1203" s="5"/>
    </row>
    <row r="1204" spans="3:8" ht="14.25" customHeight="1" x14ac:dyDescent="0.25">
      <c r="C1204" s="24"/>
      <c r="D1204" s="24"/>
      <c r="E1204" s="24"/>
      <c r="F1204" s="24"/>
      <c r="G1204" s="24"/>
      <c r="H1204" s="5"/>
    </row>
    <row r="1205" spans="3:8" ht="14.25" customHeight="1" x14ac:dyDescent="0.25">
      <c r="C1205" s="24"/>
      <c r="D1205" s="24"/>
      <c r="E1205" s="24"/>
      <c r="F1205" s="24"/>
      <c r="G1205" s="24"/>
      <c r="H1205" s="5"/>
    </row>
    <row r="1206" spans="3:8" ht="14.25" customHeight="1" x14ac:dyDescent="0.25">
      <c r="C1206" s="24"/>
      <c r="D1206" s="24"/>
      <c r="E1206" s="24"/>
      <c r="F1206" s="24"/>
      <c r="G1206" s="24"/>
      <c r="H1206" s="5"/>
    </row>
    <row r="1207" spans="3:8" ht="14.25" customHeight="1" x14ac:dyDescent="0.25">
      <c r="C1207" s="24"/>
      <c r="D1207" s="24"/>
      <c r="E1207" s="24"/>
      <c r="F1207" s="24"/>
      <c r="G1207" s="24"/>
      <c r="H1207" s="5"/>
    </row>
    <row r="1208" spans="3:8" ht="14.25" customHeight="1" x14ac:dyDescent="0.25">
      <c r="C1208" s="24"/>
      <c r="D1208" s="24"/>
      <c r="E1208" s="24"/>
      <c r="F1208" s="24"/>
      <c r="G1208" s="24"/>
      <c r="H1208" s="5"/>
    </row>
    <row r="1209" spans="3:8" ht="14.25" customHeight="1" x14ac:dyDescent="0.25">
      <c r="C1209" s="24"/>
      <c r="D1209" s="24"/>
      <c r="E1209" s="24"/>
      <c r="F1209" s="24"/>
      <c r="G1209" s="24"/>
      <c r="H1209" s="5"/>
    </row>
    <row r="1210" spans="3:8" ht="14.25" customHeight="1" x14ac:dyDescent="0.25">
      <c r="C1210" s="24"/>
      <c r="D1210" s="24"/>
      <c r="E1210" s="24"/>
      <c r="F1210" s="24"/>
      <c r="G1210" s="24"/>
      <c r="H1210" s="5"/>
    </row>
    <row r="1211" spans="3:8" ht="14.25" customHeight="1" x14ac:dyDescent="0.25">
      <c r="C1211" s="24"/>
      <c r="D1211" s="24"/>
      <c r="E1211" s="24"/>
      <c r="F1211" s="24"/>
      <c r="G1211" s="24"/>
      <c r="H1211" s="5"/>
    </row>
    <row r="1212" spans="3:8" ht="14.25" customHeight="1" x14ac:dyDescent="0.25">
      <c r="C1212" s="24"/>
      <c r="D1212" s="24"/>
      <c r="E1212" s="24"/>
      <c r="F1212" s="24"/>
      <c r="G1212" s="24"/>
      <c r="H1212" s="5"/>
    </row>
    <row r="1213" spans="3:8" ht="14.25" customHeight="1" x14ac:dyDescent="0.25">
      <c r="C1213" s="24"/>
      <c r="D1213" s="24"/>
      <c r="E1213" s="24"/>
      <c r="F1213" s="24"/>
      <c r="G1213" s="24"/>
      <c r="H1213" s="5"/>
    </row>
    <row r="1214" spans="3:8" ht="14.25" customHeight="1" x14ac:dyDescent="0.25">
      <c r="C1214" s="24"/>
      <c r="D1214" s="24"/>
      <c r="E1214" s="24"/>
      <c r="F1214" s="24"/>
      <c r="G1214" s="24"/>
      <c r="H1214" s="5"/>
    </row>
    <row r="1215" spans="3:8" ht="14.25" customHeight="1" x14ac:dyDescent="0.25">
      <c r="C1215" s="24"/>
      <c r="D1215" s="24"/>
      <c r="E1215" s="24"/>
      <c r="F1215" s="24"/>
      <c r="G1215" s="24"/>
      <c r="H1215" s="5"/>
    </row>
    <row r="1216" spans="3:8" ht="14.25" customHeight="1" x14ac:dyDescent="0.25">
      <c r="C1216" s="24"/>
      <c r="D1216" s="24"/>
      <c r="E1216" s="24"/>
      <c r="F1216" s="24"/>
      <c r="G1216" s="24"/>
      <c r="H1216" s="5"/>
    </row>
    <row r="1217" spans="3:8" ht="14.25" customHeight="1" x14ac:dyDescent="0.25">
      <c r="C1217" s="24"/>
      <c r="D1217" s="24"/>
      <c r="E1217" s="24"/>
      <c r="F1217" s="24"/>
      <c r="G1217" s="24"/>
      <c r="H1217" s="5"/>
    </row>
    <row r="1218" spans="3:8" ht="14.25" customHeight="1" x14ac:dyDescent="0.25">
      <c r="C1218" s="24"/>
      <c r="D1218" s="24"/>
      <c r="E1218" s="24"/>
      <c r="F1218" s="24"/>
      <c r="G1218" s="24"/>
      <c r="H1218" s="5"/>
    </row>
    <row r="1219" spans="3:8" ht="14.25" customHeight="1" x14ac:dyDescent="0.25">
      <c r="C1219" s="24"/>
      <c r="D1219" s="24"/>
      <c r="E1219" s="24"/>
      <c r="F1219" s="24"/>
      <c r="G1219" s="24"/>
      <c r="H1219" s="5"/>
    </row>
    <row r="1220" spans="3:8" ht="14.25" customHeight="1" x14ac:dyDescent="0.25">
      <c r="C1220" s="24"/>
      <c r="D1220" s="24"/>
      <c r="E1220" s="24"/>
      <c r="F1220" s="24"/>
      <c r="G1220" s="24"/>
      <c r="H1220" s="5"/>
    </row>
    <row r="1221" spans="3:8" ht="14.25" customHeight="1" x14ac:dyDescent="0.25">
      <c r="C1221" s="24"/>
      <c r="D1221" s="24"/>
      <c r="E1221" s="24"/>
      <c r="F1221" s="24"/>
      <c r="G1221" s="24"/>
      <c r="H1221" s="5"/>
    </row>
    <row r="1222" spans="3:8" ht="14.25" customHeight="1" x14ac:dyDescent="0.25">
      <c r="C1222" s="24"/>
      <c r="D1222" s="24"/>
      <c r="E1222" s="24"/>
      <c r="F1222" s="24"/>
      <c r="G1222" s="24"/>
      <c r="H1222" s="5"/>
    </row>
    <row r="1223" spans="3:8" ht="14.25" customHeight="1" x14ac:dyDescent="0.25">
      <c r="C1223" s="24"/>
      <c r="D1223" s="24"/>
      <c r="E1223" s="24"/>
      <c r="F1223" s="24"/>
      <c r="G1223" s="24"/>
      <c r="H1223" s="5"/>
    </row>
    <row r="1224" spans="3:8" ht="14.25" customHeight="1" x14ac:dyDescent="0.25">
      <c r="C1224" s="24"/>
      <c r="D1224" s="24"/>
      <c r="E1224" s="24"/>
      <c r="F1224" s="24"/>
      <c r="G1224" s="24"/>
      <c r="H1224" s="5"/>
    </row>
    <row r="1225" spans="3:8" ht="14.25" customHeight="1" x14ac:dyDescent="0.25">
      <c r="C1225" s="24"/>
      <c r="D1225" s="24"/>
      <c r="E1225" s="24"/>
      <c r="F1225" s="24"/>
      <c r="G1225" s="24"/>
      <c r="H1225" s="5"/>
    </row>
    <row r="1226" spans="3:8" ht="14.25" customHeight="1" x14ac:dyDescent="0.25">
      <c r="C1226" s="24"/>
      <c r="D1226" s="24"/>
      <c r="E1226" s="24"/>
      <c r="F1226" s="24"/>
      <c r="G1226" s="24"/>
      <c r="H1226" s="5"/>
    </row>
    <row r="1227" spans="3:8" ht="14.25" customHeight="1" x14ac:dyDescent="0.25">
      <c r="C1227" s="24"/>
      <c r="D1227" s="24"/>
      <c r="E1227" s="24"/>
      <c r="F1227" s="24"/>
      <c r="G1227" s="24"/>
      <c r="H1227" s="5"/>
    </row>
    <row r="1228" spans="3:8" ht="14.25" customHeight="1" x14ac:dyDescent="0.25">
      <c r="C1228" s="24"/>
      <c r="D1228" s="24"/>
      <c r="E1228" s="24"/>
      <c r="F1228" s="24"/>
      <c r="G1228" s="24"/>
      <c r="H1228" s="5"/>
    </row>
    <row r="1229" spans="3:8" ht="14.25" customHeight="1" x14ac:dyDescent="0.25">
      <c r="C1229" s="24"/>
      <c r="D1229" s="24"/>
      <c r="E1229" s="24"/>
      <c r="F1229" s="24"/>
      <c r="G1229" s="24"/>
      <c r="H1229" s="5"/>
    </row>
    <row r="1230" spans="3:8" ht="14.25" customHeight="1" x14ac:dyDescent="0.25">
      <c r="C1230" s="24"/>
      <c r="D1230" s="24"/>
      <c r="E1230" s="24"/>
      <c r="F1230" s="24"/>
      <c r="G1230" s="24"/>
      <c r="H1230" s="5"/>
    </row>
    <row r="1231" spans="3:8" ht="14.25" customHeight="1" x14ac:dyDescent="0.25">
      <c r="C1231" s="24"/>
      <c r="D1231" s="24"/>
      <c r="E1231" s="24"/>
      <c r="F1231" s="24"/>
      <c r="G1231" s="24"/>
      <c r="H1231" s="5"/>
    </row>
    <row r="1232" spans="3:8" ht="14.25" customHeight="1" x14ac:dyDescent="0.25">
      <c r="C1232" s="24"/>
      <c r="D1232" s="24"/>
      <c r="E1232" s="24"/>
      <c r="F1232" s="24"/>
      <c r="G1232" s="24"/>
      <c r="H1232" s="5"/>
    </row>
    <row r="1233" spans="1:19" ht="14.25" customHeight="1" x14ac:dyDescent="0.25">
      <c r="C1233" s="24"/>
      <c r="D1233" s="24"/>
      <c r="E1233" s="24"/>
      <c r="F1233" s="24"/>
      <c r="G1233" s="24"/>
      <c r="H1233" s="5"/>
    </row>
    <row r="1234" spans="1:19" ht="14.25" customHeight="1" x14ac:dyDescent="0.25">
      <c r="C1234" s="24"/>
      <c r="D1234" s="24"/>
      <c r="E1234" s="24"/>
      <c r="F1234" s="24"/>
      <c r="G1234" s="24"/>
      <c r="H1234" s="5"/>
    </row>
    <row r="1235" spans="1:19" ht="14.25" customHeight="1" x14ac:dyDescent="0.25">
      <c r="C1235" s="24"/>
      <c r="D1235" s="24"/>
      <c r="E1235" s="24"/>
      <c r="F1235" s="24"/>
      <c r="G1235" s="24"/>
      <c r="H1235" s="5"/>
    </row>
    <row r="1236" spans="1:19" ht="14.25" customHeight="1" x14ac:dyDescent="0.25">
      <c r="C1236" s="24"/>
      <c r="D1236" s="24"/>
      <c r="E1236" s="24"/>
      <c r="F1236" s="24"/>
      <c r="G1236" s="24"/>
      <c r="H1236" s="5"/>
    </row>
    <row r="1237" spans="1:19" ht="14.25" customHeight="1" x14ac:dyDescent="0.25">
      <c r="C1237" s="24"/>
      <c r="D1237" s="24"/>
      <c r="E1237" s="24"/>
      <c r="F1237" s="24"/>
      <c r="G1237" s="24"/>
      <c r="H1237" s="5"/>
    </row>
    <row r="1238" spans="1:19" ht="14.25" customHeight="1" x14ac:dyDescent="0.25">
      <c r="C1238" s="24"/>
      <c r="D1238" s="24"/>
      <c r="E1238" s="24"/>
      <c r="F1238" s="24"/>
      <c r="G1238" s="24"/>
      <c r="H1238" s="5"/>
    </row>
    <row r="1239" spans="1:19" ht="14.25" customHeight="1" x14ac:dyDescent="0.25">
      <c r="C1239" s="24"/>
      <c r="D1239" s="24"/>
      <c r="E1239" s="24"/>
      <c r="F1239" s="24"/>
      <c r="G1239" s="24"/>
      <c r="H1239" s="5"/>
    </row>
    <row r="1240" spans="1:19" ht="14.25" customHeight="1" x14ac:dyDescent="0.25">
      <c r="C1240" s="24"/>
      <c r="D1240" s="24"/>
      <c r="E1240" s="24"/>
      <c r="F1240" s="24"/>
      <c r="G1240" s="24"/>
      <c r="H1240" s="5"/>
    </row>
    <row r="1241" spans="1:19" ht="14.25" customHeight="1" x14ac:dyDescent="0.25">
      <c r="C1241" s="24"/>
      <c r="D1241" s="24"/>
      <c r="E1241" s="24"/>
      <c r="F1241" s="24"/>
      <c r="G1241" s="24"/>
      <c r="H1241" s="5"/>
    </row>
    <row r="1242" spans="1:19" ht="14.25" customHeight="1" x14ac:dyDescent="0.25">
      <c r="C1242" s="24"/>
      <c r="D1242" s="24"/>
      <c r="E1242" s="24"/>
      <c r="F1242" s="24"/>
      <c r="G1242" s="24"/>
      <c r="H1242" s="5"/>
    </row>
    <row r="1243" spans="1:19" ht="14.25" customHeight="1" x14ac:dyDescent="0.25">
      <c r="C1243" s="24"/>
      <c r="D1243" s="24"/>
      <c r="E1243" s="24"/>
      <c r="F1243" s="24"/>
      <c r="G1243" s="24"/>
      <c r="H1243" s="5"/>
    </row>
    <row r="1244" spans="1:19" ht="14.25" customHeight="1" x14ac:dyDescent="0.25">
      <c r="C1244" s="24"/>
      <c r="D1244" s="24"/>
      <c r="E1244" s="24"/>
      <c r="F1244" s="24"/>
      <c r="G1244" s="24"/>
      <c r="H1244" s="5"/>
    </row>
    <row r="1245" spans="1:19" ht="14.25" customHeight="1" x14ac:dyDescent="0.25">
      <c r="C1245" s="24"/>
      <c r="D1245" s="24"/>
      <c r="E1245" s="24"/>
      <c r="F1245" s="24"/>
      <c r="G1245" s="24"/>
      <c r="H1245" s="5"/>
    </row>
    <row r="1246" spans="1:19" s="8" customFormat="1" x14ac:dyDescent="0.25">
      <c r="B1246" s="343" t="str">
        <f>TITLE!$C$33</f>
        <v>Інші Аксесуари</v>
      </c>
      <c r="C1246" s="321"/>
      <c r="D1246" s="93"/>
      <c r="E1246" s="93"/>
      <c r="F1246" s="93"/>
      <c r="G1246" s="93"/>
      <c r="H1246" s="93"/>
      <c r="I1246" s="94"/>
      <c r="J1246" s="94"/>
      <c r="K1246" s="94"/>
      <c r="L1246" s="94"/>
      <c r="M1246" s="94"/>
      <c r="N1246" s="94"/>
      <c r="O1246" s="94"/>
      <c r="P1246" s="323" t="str">
        <f>IF($C$1="ENG",CONCATENATE("up to: ",B1192),CONCATENATE("вгору до: ",B1192))</f>
        <v>вгору до: Дверні Ручки та Комплектуючі</v>
      </c>
      <c r="Q1246" s="323"/>
      <c r="R1246" s="323"/>
      <c r="S1246" s="323"/>
    </row>
    <row r="1247" spans="1:19" s="8" customFormat="1" ht="5.0999999999999996" customHeight="1" x14ac:dyDescent="0.25">
      <c r="B1247" s="91"/>
      <c r="C1247" s="90"/>
      <c r="D1247" s="9"/>
      <c r="E1247" s="9"/>
      <c r="F1247" s="10"/>
      <c r="G1247" s="10"/>
      <c r="H1247" s="10"/>
      <c r="I1247" s="37"/>
      <c r="J1247" s="37"/>
      <c r="K1247" s="37"/>
      <c r="L1247" s="37"/>
      <c r="M1247" s="37"/>
      <c r="N1247" s="37"/>
      <c r="O1247" s="37"/>
      <c r="P1247" s="88"/>
      <c r="Q1247" s="88"/>
      <c r="R1247" s="88"/>
      <c r="S1247" s="88"/>
    </row>
    <row r="1248" spans="1:19" ht="24" customHeight="1" x14ac:dyDescent="0.25">
      <c r="A1248" s="8"/>
      <c r="B1248" s="51" t="str">
        <f>IF($C$1="ENG","model","модель")</f>
        <v>модель</v>
      </c>
      <c r="C1248" s="12"/>
      <c r="D1248" s="334" t="str">
        <f>IF($C$1="ENG","price","ціна")</f>
        <v>ціна</v>
      </c>
      <c r="E1248" s="335"/>
      <c r="F1248" s="52"/>
      <c r="G1248" s="36"/>
      <c r="H1248" s="36"/>
      <c r="I1248" s="36"/>
      <c r="J1248" s="36"/>
      <c r="K1248" s="36"/>
      <c r="L1248" s="36"/>
      <c r="M1248" s="36"/>
      <c r="N1248" s="36"/>
      <c r="O1248" s="36"/>
    </row>
    <row r="1249" spans="1:28" ht="34.5" customHeight="1" x14ac:dyDescent="0.25">
      <c r="A1249" s="8"/>
      <c r="B1249" s="13" t="str">
        <f>IF($C$1="ENG","Door Lock STANDARD","Замок STANDARD")</f>
        <v>Замок STANDARD</v>
      </c>
      <c r="C1249" s="77"/>
      <c r="D1249" s="15">
        <f>IF(U1249="","",(1-$S$2)*(U1249/1.2))</f>
        <v>383.33333333333337</v>
      </c>
      <c r="E1249" s="54">
        <f>IF($S$5=0.2,D1249*1.2,D1249)/$S$4</f>
        <v>460.00000000000006</v>
      </c>
      <c r="F1249" s="55"/>
      <c r="G1249" s="49"/>
      <c r="H1249" s="81"/>
      <c r="I1249" s="82"/>
      <c r="J1249" s="26"/>
      <c r="K1249" s="27"/>
      <c r="L1249" s="26"/>
      <c r="M1249" s="49"/>
      <c r="N1249" s="26"/>
      <c r="O1249" s="27"/>
      <c r="P1249" s="34"/>
      <c r="Q1249" s="28"/>
      <c r="S1249" s="20"/>
      <c r="U1249" s="1">
        <v>460.00000000000006</v>
      </c>
      <c r="V1249" s="286"/>
      <c r="W1249" s="286"/>
      <c r="X1249" s="286"/>
      <c r="Y1249" s="286"/>
      <c r="Z1249" s="286"/>
      <c r="AA1249" s="286"/>
      <c r="AB1249" s="286"/>
    </row>
    <row r="1250" spans="1:28" ht="34.5" customHeight="1" x14ac:dyDescent="0.25">
      <c r="A1250" s="8"/>
      <c r="B1250" s="16" t="str">
        <f>IF($C$1="ENG","Door hinge","Завіса штирьова")</f>
        <v>Завіса штирьова</v>
      </c>
      <c r="C1250" s="53"/>
      <c r="D1250" s="18">
        <f>IF(U1250="","",(1-$S$2)*(U1250/1.2))</f>
        <v>116.66666666666667</v>
      </c>
      <c r="E1250" s="56">
        <f>IF($S$5=0.2,D1250*1.2,D1250)/$S$4</f>
        <v>140</v>
      </c>
      <c r="F1250" s="55"/>
      <c r="G1250" s="49"/>
      <c r="H1250" s="81"/>
      <c r="I1250" s="82"/>
      <c r="J1250" s="26"/>
      <c r="K1250" s="27"/>
      <c r="L1250" s="26"/>
      <c r="M1250" s="49"/>
      <c r="N1250" s="26"/>
      <c r="O1250" s="27"/>
      <c r="P1250" s="34"/>
      <c r="Q1250" s="28"/>
      <c r="S1250" s="28"/>
      <c r="U1250" s="1">
        <v>140</v>
      </c>
      <c r="V1250" s="286"/>
      <c r="W1250" s="286"/>
      <c r="X1250" s="286"/>
      <c r="Y1250" s="286"/>
      <c r="Z1250" s="286"/>
      <c r="AA1250" s="286"/>
      <c r="AB1250" s="286"/>
    </row>
    <row r="1251" spans="1:28" ht="34.5" customHeight="1" x14ac:dyDescent="0.25">
      <c r="A1251" s="8"/>
      <c r="B1251" s="16" t="str">
        <f>IF($C$1="ENG","Door lock hatch","Відповідна планка")</f>
        <v>Відповідна планка</v>
      </c>
      <c r="C1251" s="53"/>
      <c r="D1251" s="18">
        <f>IF(U1251="","",(1-$S$2)*(U1251/1.2))</f>
        <v>116.66666666666667</v>
      </c>
      <c r="E1251" s="56">
        <f>IF($S$5=0.2,D1251*1.2,D1251)/$S$4</f>
        <v>140</v>
      </c>
      <c r="F1251" s="55"/>
      <c r="G1251" s="49"/>
      <c r="H1251" s="81"/>
      <c r="I1251" s="82"/>
      <c r="J1251" s="26"/>
      <c r="K1251" s="27"/>
      <c r="L1251" s="26"/>
      <c r="M1251" s="49"/>
      <c r="N1251" s="26"/>
      <c r="O1251" s="27"/>
      <c r="P1251" s="34"/>
      <c r="Q1251" s="28"/>
      <c r="S1251" s="28"/>
      <c r="U1251" s="1">
        <v>140</v>
      </c>
      <c r="V1251" s="286"/>
      <c r="W1251" s="286"/>
      <c r="X1251" s="286"/>
      <c r="Y1251" s="286"/>
      <c r="Z1251" s="286"/>
      <c r="AA1251" s="286"/>
      <c r="AB1251" s="286"/>
    </row>
    <row r="1252" spans="1:28" ht="34.5" customHeight="1" x14ac:dyDescent="0.25">
      <c r="B1252" s="21" t="str">
        <f>IF($C$1="ENG","Door lock latch","Шпінгалет")</f>
        <v>Шпінгалет</v>
      </c>
      <c r="C1252" s="57"/>
      <c r="D1252" s="58">
        <f>IF(U1252="","",(1-$S$2)*(U1252/1.2))</f>
        <v>191.66666666666669</v>
      </c>
      <c r="E1252" s="59">
        <f>IF($S$5=0.2,D1252*1.2,D1252)/$S$4</f>
        <v>230.00000000000003</v>
      </c>
      <c r="F1252" s="60"/>
      <c r="G1252" s="49"/>
      <c r="H1252" s="81"/>
      <c r="I1252" s="82"/>
      <c r="U1252" s="1">
        <v>230.00000000000003</v>
      </c>
      <c r="V1252" s="286"/>
      <c r="W1252" s="286"/>
      <c r="X1252" s="286"/>
      <c r="Y1252" s="286"/>
      <c r="Z1252" s="286"/>
      <c r="AA1252" s="286"/>
      <c r="AB1252" s="286"/>
    </row>
    <row r="1253" spans="1:28" ht="14.25" customHeight="1" x14ac:dyDescent="0.25">
      <c r="C1253" s="24"/>
      <c r="D1253" s="24"/>
      <c r="E1253" s="24"/>
      <c r="F1253" s="24"/>
      <c r="G1253" s="24"/>
      <c r="H1253" s="5"/>
    </row>
    <row r="1254" spans="1:28" ht="14.25" customHeight="1" x14ac:dyDescent="0.25">
      <c r="C1254" s="24"/>
      <c r="D1254" s="24"/>
      <c r="E1254" s="24"/>
      <c r="F1254" s="24"/>
      <c r="G1254" s="24"/>
      <c r="H1254" s="5"/>
    </row>
    <row r="1255" spans="1:28" ht="14.25" customHeight="1" x14ac:dyDescent="0.25">
      <c r="C1255" s="24"/>
      <c r="D1255" s="24"/>
      <c r="E1255" s="24"/>
      <c r="F1255" s="24"/>
      <c r="G1255" s="24"/>
      <c r="H1255" s="5"/>
    </row>
    <row r="1256" spans="1:28" x14ac:dyDescent="0.25">
      <c r="C1256" s="24"/>
      <c r="D1256" s="24"/>
      <c r="E1256" s="24"/>
    </row>
    <row r="1257" spans="1:28" x14ac:dyDescent="0.25">
      <c r="C1257" s="24"/>
      <c r="D1257" s="24"/>
      <c r="E1257" s="24"/>
    </row>
  </sheetData>
  <sheetProtection algorithmName="SHA-512" hashValue="DBCFo4fxgaIloSPSl61bRDpmLC5JWDd14sVhvmG8r/zW+MkLAmT0CUY6lS1xuTgyrcTJnWLc8ahSt18tgmD2zw==" saltValue="RzbhH8aJMyosbP1HJiAxjA==" spinCount="100000" sheet="1" objects="1" scenarios="1"/>
  <mergeCells count="286">
    <mergeCell ref="B146:C146"/>
    <mergeCell ref="B147:C147"/>
    <mergeCell ref="B148:C148"/>
    <mergeCell ref="B149:C149"/>
    <mergeCell ref="B150:C150"/>
    <mergeCell ref="P151:S151"/>
    <mergeCell ref="B136:B138"/>
    <mergeCell ref="D136:E136"/>
    <mergeCell ref="F136:G136"/>
    <mergeCell ref="D137:E137"/>
    <mergeCell ref="F137:G137"/>
    <mergeCell ref="D138:E138"/>
    <mergeCell ref="F138:G138"/>
    <mergeCell ref="B144:C144"/>
    <mergeCell ref="B145:C145"/>
    <mergeCell ref="B95:C95"/>
    <mergeCell ref="B96:C96"/>
    <mergeCell ref="B97:C97"/>
    <mergeCell ref="B98:C98"/>
    <mergeCell ref="B99:C99"/>
    <mergeCell ref="P100:S100"/>
    <mergeCell ref="B134:C134"/>
    <mergeCell ref="H134:I134"/>
    <mergeCell ref="P134:S134"/>
    <mergeCell ref="B85:B87"/>
    <mergeCell ref="D85:E85"/>
    <mergeCell ref="F85:G85"/>
    <mergeCell ref="D86:E86"/>
    <mergeCell ref="F86:G86"/>
    <mergeCell ref="D87:E87"/>
    <mergeCell ref="F87:G87"/>
    <mergeCell ref="B93:C93"/>
    <mergeCell ref="B94:C94"/>
    <mergeCell ref="B61:C61"/>
    <mergeCell ref="B62:C62"/>
    <mergeCell ref="B63:C63"/>
    <mergeCell ref="B64:C64"/>
    <mergeCell ref="B65:C65"/>
    <mergeCell ref="P66:S66"/>
    <mergeCell ref="B83:C83"/>
    <mergeCell ref="H83:I83"/>
    <mergeCell ref="P83:S83"/>
    <mergeCell ref="B51:B53"/>
    <mergeCell ref="D51:E51"/>
    <mergeCell ref="F51:G51"/>
    <mergeCell ref="D52:E52"/>
    <mergeCell ref="F52:G52"/>
    <mergeCell ref="D53:E53"/>
    <mergeCell ref="F53:G53"/>
    <mergeCell ref="B59:C59"/>
    <mergeCell ref="B60:C60"/>
    <mergeCell ref="B19:C19"/>
    <mergeCell ref="B20:C20"/>
    <mergeCell ref="B21:C21"/>
    <mergeCell ref="B23:C23"/>
    <mergeCell ref="B24:C24"/>
    <mergeCell ref="B25:C25"/>
    <mergeCell ref="P26:S26"/>
    <mergeCell ref="B22:C22"/>
    <mergeCell ref="B49:C49"/>
    <mergeCell ref="H49:I49"/>
    <mergeCell ref="P49:S49"/>
    <mergeCell ref="F1110:G1110"/>
    <mergeCell ref="F1111:G1111"/>
    <mergeCell ref="B373:C373"/>
    <mergeCell ref="B596:C596"/>
    <mergeCell ref="B664:C664"/>
    <mergeCell ref="B976:C976"/>
    <mergeCell ref="B978:B979"/>
    <mergeCell ref="D978:G978"/>
    <mergeCell ref="H978:K978"/>
    <mergeCell ref="D979:E979"/>
    <mergeCell ref="F979:G979"/>
    <mergeCell ref="H979:I979"/>
    <mergeCell ref="J979:K979"/>
    <mergeCell ref="F769:G769"/>
    <mergeCell ref="F838:G838"/>
    <mergeCell ref="F839:G839"/>
    <mergeCell ref="H897:K897"/>
    <mergeCell ref="C1054:C1055"/>
    <mergeCell ref="B836:C836"/>
    <mergeCell ref="B1050:C1050"/>
    <mergeCell ref="H1050:I1050"/>
    <mergeCell ref="B844:C844"/>
    <mergeCell ref="B895:C895"/>
    <mergeCell ref="D1052:E1052"/>
    <mergeCell ref="F1052:G1052"/>
    <mergeCell ref="H1052:I1052"/>
    <mergeCell ref="J1052:K1052"/>
    <mergeCell ref="B1052:B1053"/>
    <mergeCell ref="D1053:E1053"/>
    <mergeCell ref="F1053:G1053"/>
    <mergeCell ref="F898:G898"/>
    <mergeCell ref="B897:B898"/>
    <mergeCell ref="D352:E352"/>
    <mergeCell ref="B370:C370"/>
    <mergeCell ref="B351:B353"/>
    <mergeCell ref="B371:C371"/>
    <mergeCell ref="F351:G351"/>
    <mergeCell ref="F352:G352"/>
    <mergeCell ref="F353:G353"/>
    <mergeCell ref="D353:E353"/>
    <mergeCell ref="F429:G429"/>
    <mergeCell ref="B375:C375"/>
    <mergeCell ref="B429:B431"/>
    <mergeCell ref="D186:E186"/>
    <mergeCell ref="B184:B186"/>
    <mergeCell ref="B201:C201"/>
    <mergeCell ref="B200:C200"/>
    <mergeCell ref="B198:C198"/>
    <mergeCell ref="B202:C202"/>
    <mergeCell ref="B199:C199"/>
    <mergeCell ref="B448:C448"/>
    <mergeCell ref="R7:S7"/>
    <mergeCell ref="B8:C8"/>
    <mergeCell ref="B7:C7"/>
    <mergeCell ref="P7:Q7"/>
    <mergeCell ref="J7:K7"/>
    <mergeCell ref="L7:M7"/>
    <mergeCell ref="N7:O7"/>
    <mergeCell ref="D7:E7"/>
    <mergeCell ref="B197:C197"/>
    <mergeCell ref="P182:S182"/>
    <mergeCell ref="B182:C182"/>
    <mergeCell ref="F184:G184"/>
    <mergeCell ref="F185:G185"/>
    <mergeCell ref="F186:G186"/>
    <mergeCell ref="B9:C9"/>
    <mergeCell ref="H9:I9"/>
    <mergeCell ref="P9:S9"/>
    <mergeCell ref="H10:I10"/>
    <mergeCell ref="B11:B13"/>
    <mergeCell ref="D11:E11"/>
    <mergeCell ref="F11:G11"/>
    <mergeCell ref="D12:E12"/>
    <mergeCell ref="F12:G12"/>
    <mergeCell ref="D13:E13"/>
    <mergeCell ref="E1:K1"/>
    <mergeCell ref="E2:K2"/>
    <mergeCell ref="H183:I183"/>
    <mergeCell ref="H182:I182"/>
    <mergeCell ref="F7:G7"/>
    <mergeCell ref="H7:I7"/>
    <mergeCell ref="D185:E185"/>
    <mergeCell ref="E4:K4"/>
    <mergeCell ref="D184:E184"/>
    <mergeCell ref="F13:G13"/>
    <mergeCell ref="H50:I50"/>
    <mergeCell ref="H84:I84"/>
    <mergeCell ref="H135:I135"/>
    <mergeCell ref="F1194:G1194"/>
    <mergeCell ref="B1246:C1246"/>
    <mergeCell ref="D963:G963"/>
    <mergeCell ref="B1108:C1108"/>
    <mergeCell ref="B961:C961"/>
    <mergeCell ref="B449:C449"/>
    <mergeCell ref="B445:C445"/>
    <mergeCell ref="D430:E430"/>
    <mergeCell ref="D839:E839"/>
    <mergeCell ref="D838:E838"/>
    <mergeCell ref="D431:E431"/>
    <mergeCell ref="B447:C447"/>
    <mergeCell ref="F430:G430"/>
    <mergeCell ref="F431:G431"/>
    <mergeCell ref="F964:G964"/>
    <mergeCell ref="D964:E964"/>
    <mergeCell ref="B501:C501"/>
    <mergeCell ref="B446:C446"/>
    <mergeCell ref="F577:G577"/>
    <mergeCell ref="F578:G578"/>
    <mergeCell ref="B593:C593"/>
    <mergeCell ref="B594:C594"/>
    <mergeCell ref="B595:C595"/>
    <mergeCell ref="B597:C597"/>
    <mergeCell ref="P203:S203"/>
    <mergeCell ref="P427:S427"/>
    <mergeCell ref="D1248:E1248"/>
    <mergeCell ref="B1192:C1192"/>
    <mergeCell ref="D1194:E1194"/>
    <mergeCell ref="B1110:B1111"/>
    <mergeCell ref="D1110:E1110"/>
    <mergeCell ref="D1111:E1111"/>
    <mergeCell ref="P1200:S1200"/>
    <mergeCell ref="P836:S836"/>
    <mergeCell ref="P349:S349"/>
    <mergeCell ref="P377:S377"/>
    <mergeCell ref="P451:S451"/>
    <mergeCell ref="P845:S845"/>
    <mergeCell ref="H1108:I1108"/>
    <mergeCell ref="H427:I427"/>
    <mergeCell ref="H349:I349"/>
    <mergeCell ref="P1246:S1246"/>
    <mergeCell ref="B450:C450"/>
    <mergeCell ref="B999:C999"/>
    <mergeCell ref="P895:S895"/>
    <mergeCell ref="B963:B964"/>
    <mergeCell ref="B838:B839"/>
    <mergeCell ref="B910:C910"/>
    <mergeCell ref="F503:G503"/>
    <mergeCell ref="F504:G504"/>
    <mergeCell ref="F505:G505"/>
    <mergeCell ref="H898:I898"/>
    <mergeCell ref="J898:K898"/>
    <mergeCell ref="F579:G579"/>
    <mergeCell ref="F652:G652"/>
    <mergeCell ref="F653:G653"/>
    <mergeCell ref="F654:G654"/>
    <mergeCell ref="D897:G897"/>
    <mergeCell ref="D898:E898"/>
    <mergeCell ref="H501:I501"/>
    <mergeCell ref="P501:S501"/>
    <mergeCell ref="H1194:I1194"/>
    <mergeCell ref="P1128:S1128"/>
    <mergeCell ref="P1192:S1192"/>
    <mergeCell ref="L895:O895"/>
    <mergeCell ref="H1053:I1053"/>
    <mergeCell ref="J1053:K1053"/>
    <mergeCell ref="H963:K963"/>
    <mergeCell ref="H964:I964"/>
    <mergeCell ref="J964:K964"/>
    <mergeCell ref="P961:S961"/>
    <mergeCell ref="P1000:S1000"/>
    <mergeCell ref="P1108:S1108"/>
    <mergeCell ref="P525:S525"/>
    <mergeCell ref="H575:I575"/>
    <mergeCell ref="O575:S575"/>
    <mergeCell ref="P786:S786"/>
    <mergeCell ref="L961:O961"/>
    <mergeCell ref="H836:I836"/>
    <mergeCell ref="P911:S911"/>
    <mergeCell ref="P1058:S1058"/>
    <mergeCell ref="P1050:S1050"/>
    <mergeCell ref="B349:C349"/>
    <mergeCell ref="B372:C372"/>
    <mergeCell ref="B427:C427"/>
    <mergeCell ref="B503:B505"/>
    <mergeCell ref="D503:E503"/>
    <mergeCell ref="D504:E504"/>
    <mergeCell ref="D505:E505"/>
    <mergeCell ref="B661:C661"/>
    <mergeCell ref="B662:C662"/>
    <mergeCell ref="B519:C519"/>
    <mergeCell ref="B520:C520"/>
    <mergeCell ref="B521:C521"/>
    <mergeCell ref="B522:C522"/>
    <mergeCell ref="B523:C523"/>
    <mergeCell ref="B524:C524"/>
    <mergeCell ref="B575:C575"/>
    <mergeCell ref="B577:B579"/>
    <mergeCell ref="D577:E577"/>
    <mergeCell ref="D578:E578"/>
    <mergeCell ref="D579:E579"/>
    <mergeCell ref="D351:E351"/>
    <mergeCell ref="D429:E429"/>
    <mergeCell ref="B374:C374"/>
    <mergeCell ref="B376:C376"/>
    <mergeCell ref="B663:C663"/>
    <mergeCell ref="B665:C665"/>
    <mergeCell ref="B666:C666"/>
    <mergeCell ref="B667:C667"/>
    <mergeCell ref="P668:S668"/>
    <mergeCell ref="B598:C598"/>
    <mergeCell ref="B599:C599"/>
    <mergeCell ref="P600:S600"/>
    <mergeCell ref="B650:C650"/>
    <mergeCell ref="H650:I650"/>
    <mergeCell ref="P650:S650"/>
    <mergeCell ref="B652:B654"/>
    <mergeCell ref="D652:E652"/>
    <mergeCell ref="D653:E653"/>
    <mergeCell ref="D654:E654"/>
    <mergeCell ref="B780:C780"/>
    <mergeCell ref="B781:C781"/>
    <mergeCell ref="B782:C782"/>
    <mergeCell ref="B783:C783"/>
    <mergeCell ref="B784:C784"/>
    <mergeCell ref="B785:C785"/>
    <mergeCell ref="B765:C765"/>
    <mergeCell ref="H765:I765"/>
    <mergeCell ref="P765:S765"/>
    <mergeCell ref="B767:B769"/>
    <mergeCell ref="D767:E767"/>
    <mergeCell ref="D768:E768"/>
    <mergeCell ref="D769:E769"/>
    <mergeCell ref="F767:G767"/>
    <mergeCell ref="F768:G768"/>
  </mergeCells>
  <phoneticPr fontId="5" type="noConversion"/>
  <dataValidations count="1">
    <dataValidation type="list" allowBlank="1" showInputMessage="1" showErrorMessage="1" sqref="S5">
      <formula1>vat</formula1>
    </dataValidation>
  </dataValidations>
  <hyperlinks>
    <hyperlink ref="B7:C7" location="MENU" display="НА ГЛАВНУЮ"/>
    <hyperlink ref="P961" location="Frame_Premi" display="Frame_Premi"/>
    <hyperlink ref="P1000" location="Framugi" display="Framugi"/>
    <hyperlink ref="P895" location="Verto_Slide" display="Verto_Slide"/>
    <hyperlink ref="P836" location="Door_Dobor" display="Door_Dobor"/>
    <hyperlink ref="P1108" location="Frame_VFit" display="Frame_VFit"/>
    <hyperlink ref="P845" location="Framugi" display="Framugi"/>
    <hyperlink ref="P845:S845" location="Frame_Classic" display="Frame_Classic"/>
    <hyperlink ref="P203:S203" location="Door_ECO_Focus" display="Door_ECO_Focus"/>
    <hyperlink ref="P377:S377" location="Door_ECO_Liano" display="Door_ECO_Liano"/>
    <hyperlink ref="P427" location="Door_LadaK" display="Door_LadaK"/>
    <hyperlink ref="P451:S451" location="Door_ECO_Bergamo" display="Door_ECO_Bergamo"/>
    <hyperlink ref="P427:S427" location="Door_ECO_Milano" display="Door_ECO_Milano"/>
    <hyperlink ref="P911:S911" location="Frame_ECO_Fit" display="Frame_ECO_Fit"/>
    <hyperlink ref="P1192:S1192" location="Framugi" display="Framugi"/>
    <hyperlink ref="P1200" location="Framugi" display="Framugi"/>
    <hyperlink ref="P1200:S1200" location="Furniture" display="Furniture"/>
    <hyperlink ref="P1128:S1128" location="DoorHandles" display="DoorHandles"/>
    <hyperlink ref="P1246:S1246" location="DoorHandles" display="DoorHandles"/>
    <hyperlink ref="E202" location="DoorHandles" display="см. Таблицу Ручки"/>
    <hyperlink ref="P1108:S1108" location="Plinths" display="Plinths"/>
    <hyperlink ref="P961:S961" location="Frame_Classic" display="Frame_Classic"/>
    <hyperlink ref="P895:S895" location="ECO_Slide" display="ECO_Slide"/>
    <hyperlink ref="P836:S836" location="Door_ECO_Viento" display="Door_ECO_Viento"/>
    <hyperlink ref="P1050" location="Frame_Premi" display="Frame_Premi"/>
    <hyperlink ref="P1050:S1050" location="Frame_ECO_Fit" display="Frame_ECO_Fit"/>
    <hyperlink ref="P1058" location="Framugi" display="Framugi"/>
    <hyperlink ref="P1058:S1058" location="Framugi" display="Framugi"/>
    <hyperlink ref="P1000:S1000" location="Plinths" display="Plinths"/>
    <hyperlink ref="P501" location="Door_LadaK" display="Door_LadaK"/>
    <hyperlink ref="P525:S525" location="Door_ECO_Grande" display="Door_ECO_Grande"/>
    <hyperlink ref="P501:S501" location="Door_ECO_Liano" display="Door_ECO_Liano"/>
    <hyperlink ref="O575" location="Door_LadaK" display="Door_LadaK"/>
    <hyperlink ref="P600:S600" location="Door_ECO_Piano" display="Door_ECO_Piano"/>
    <hyperlink ref="P650" location="Door_LadaK" display="Door_LadaK"/>
    <hyperlink ref="P650:S650" location="Door_ECO_Grande" display="Door_ECO_Grande"/>
    <hyperlink ref="P786:S786" location="ECO_Slide" display="ECO_Slide"/>
    <hyperlink ref="P26:S26" location="Door_ECO_Focus" display="Door_ECO_Focus"/>
    <hyperlink ref="E25" location="DoorHandles" display="см. Таблицу Ручки"/>
    <hyperlink ref="P151:S151" location="Door_ECO_Focus" display="Door_ECO_Focus"/>
    <hyperlink ref="P100:S100" location="Door_ECO_Focus" display="Door_ECO_Focus"/>
    <hyperlink ref="P66:S66" location="Door_ECO_Focus" display="Door_ECO_Focus"/>
    <hyperlink ref="E65" location="DoorHandles" display="см. Таблицу Ручки"/>
    <hyperlink ref="E99" location="DoorHandles" display="см. Таблицу Ручки"/>
    <hyperlink ref="E150" location="DoorHandles" display="см. Таблицу Ручки"/>
    <hyperlink ref="E376" location="DoorHandles" display="см. Таблицу Ручки"/>
    <hyperlink ref="E450" location="DoorHandles" display="см. Таблицу Ручки"/>
    <hyperlink ref="E524" location="DoorHandles" display="см. Таблицу Ручки"/>
    <hyperlink ref="E599" location="DoorHandles" display="см. Таблицу Ручки"/>
    <hyperlink ref="E667" location="DoorHandles" display="см. Таблицу Ручки"/>
    <hyperlink ref="E785" location="DoorHandles" display="см. Таблицу Ручки"/>
  </hyperlinks>
  <pageMargins left="0.23622047244094491" right="0.27559055118110237" top="0.27559055118110237" bottom="0.31496062992125984" header="0.27559055118110237" footer="0.31496062992125984"/>
  <pageSetup paperSize="9" scale="86" fitToHeight="50" orientation="landscape" r:id="rId1"/>
  <headerFooter alignWithMargins="0"/>
  <rowBreaks count="9" manualBreakCount="9">
    <brk id="181" max="18" man="1"/>
    <brk id="348" max="18" man="1"/>
    <brk id="426" max="16383" man="1"/>
    <brk id="835" max="18" man="1"/>
    <brk id="894" max="18" man="1"/>
    <brk id="960" max="18" man="1"/>
    <brk id="1107" max="18" man="1"/>
    <brk id="1191" max="16383" man="1"/>
    <brk id="1245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22"/>
  </sheetPr>
  <dimension ref="A1:K229"/>
  <sheetViews>
    <sheetView showGridLines="0" zoomScaleNormal="100" workbookViewId="0">
      <pane ySplit="6" topLeftCell="A215" activePane="bottomLeft" state="frozen"/>
      <selection pane="bottomLeft" activeCell="E118" sqref="E118"/>
    </sheetView>
  </sheetViews>
  <sheetFormatPr defaultColWidth="9.109375" defaultRowHeight="13.2" x14ac:dyDescent="0.25"/>
  <cols>
    <col min="1" max="1" width="1" style="30" customWidth="1"/>
    <col min="2" max="2" width="17.6640625" style="30" customWidth="1"/>
    <col min="3" max="3" width="11.6640625" style="30" customWidth="1"/>
    <col min="4" max="6" width="14.6640625" style="30" customWidth="1"/>
    <col min="7" max="7" width="12.5546875" style="30" customWidth="1"/>
    <col min="8" max="9" width="14.6640625" style="30" customWidth="1"/>
    <col min="10" max="10" width="11.33203125" style="30" customWidth="1"/>
    <col min="11" max="11" width="14.6640625" style="30" customWidth="1"/>
    <col min="12" max="16384" width="9.109375" style="30"/>
  </cols>
  <sheetData>
    <row r="1" spans="1:11" ht="12.75" customHeight="1" x14ac:dyDescent="0.25">
      <c r="B1" s="86" t="str">
        <f>TITLE!B2</f>
        <v>ВЕРСІЯ: 45.00.26</v>
      </c>
      <c r="C1" s="175" t="str">
        <f>Products!C1</f>
        <v>UA</v>
      </c>
      <c r="K1" s="158" t="str">
        <f>IF($C$1="ENG","PRINT VERSION","ВЕРСІЯ ДЛЯ ДРУКУ")</f>
        <v>ВЕРСІЯ ДЛЯ ДРУКУ</v>
      </c>
    </row>
    <row r="2" spans="1:11" x14ac:dyDescent="0.25">
      <c r="H2" s="243"/>
      <c r="I2" s="244" t="str">
        <f>Products!Q2</f>
        <v>знижка</v>
      </c>
      <c r="J2" s="245">
        <f>Products!S2</f>
        <v>0</v>
      </c>
      <c r="K2" s="246"/>
    </row>
    <row r="3" spans="1:11" x14ac:dyDescent="0.25">
      <c r="B3" s="228"/>
      <c r="D3" s="371" t="str">
        <f>Products!E4</f>
        <v>РОЗДРІБНІ ЦІНИ НА ПРОДУКЦІЮ ТМ ECO-DOORS</v>
      </c>
      <c r="E3" s="371"/>
      <c r="F3" s="371"/>
      <c r="G3" s="371"/>
      <c r="H3" s="247"/>
      <c r="I3" s="248" t="str">
        <f>Products!Q4</f>
        <v>курс валют (за 1 грн.)</v>
      </c>
      <c r="J3" s="249">
        <f>Products!S4</f>
        <v>1</v>
      </c>
      <c r="K3" s="247"/>
    </row>
    <row r="4" spans="1:11" ht="12.75" customHeight="1" x14ac:dyDescent="0.25">
      <c r="D4" s="374" t="str">
        <f>Products!E5</f>
        <v>діє з: 16 березня 2026</v>
      </c>
      <c r="E4" s="374"/>
      <c r="F4" s="374"/>
      <c r="G4" s="374"/>
      <c r="H4" s="247"/>
      <c r="I4" s="250" t="str">
        <f>Products!Q5</f>
        <v>ПДВ</v>
      </c>
      <c r="J4" s="251">
        <f>Products!S5</f>
        <v>0.2</v>
      </c>
      <c r="K4" s="247"/>
    </row>
    <row r="5" spans="1:11" ht="5.0999999999999996" customHeight="1" x14ac:dyDescent="0.25">
      <c r="C5" s="32"/>
      <c r="D5" s="32"/>
      <c r="E5" s="32"/>
    </row>
    <row r="6" spans="1:11" ht="12.75" customHeight="1" x14ac:dyDescent="0.25">
      <c r="B6" s="375" t="str">
        <f>Products!B8</f>
        <v>Асортимент</v>
      </c>
      <c r="C6" s="376"/>
      <c r="D6" s="377" t="str">
        <f>CONCATENATE(D3," ",Products!E8)</f>
        <v>РОЗДРІБНІ ЦІНИ НА ПРОДУКЦІЮ ТМ ECO-DOORS з ПДВ</v>
      </c>
      <c r="E6" s="378"/>
      <c r="F6" s="378"/>
      <c r="G6" s="378"/>
      <c r="H6" s="378"/>
      <c r="I6" s="378"/>
      <c r="J6" s="378"/>
      <c r="K6" s="379"/>
    </row>
    <row r="7" spans="1:11" s="29" customFormat="1" ht="12.75" customHeight="1" x14ac:dyDescent="0.25">
      <c r="B7" s="372" t="str">
        <f>Products!B9</f>
        <v>Полотна збірні: ECO-VIVA</v>
      </c>
      <c r="C7" s="373"/>
      <c r="D7" s="373"/>
      <c r="E7" s="373"/>
      <c r="F7" s="130"/>
      <c r="G7" s="130"/>
      <c r="H7" s="130"/>
      <c r="I7" s="305"/>
      <c r="J7" s="306"/>
      <c r="K7" s="307"/>
    </row>
    <row r="8" spans="1:11" ht="12.75" customHeight="1" x14ac:dyDescent="0.25">
      <c r="A8" s="29"/>
      <c r="B8" s="363" t="str">
        <f>Products!B11</f>
        <v>модель</v>
      </c>
      <c r="C8" s="127" t="str">
        <f>Products!C11</f>
        <v>покриття:</v>
      </c>
      <c r="D8" s="128" t="str">
        <f>Products!D11</f>
        <v>ECO-CELL</v>
      </c>
      <c r="E8" s="128" t="str">
        <f>Products!F11</f>
        <v>ECO-RESIST</v>
      </c>
      <c r="F8" s="302"/>
      <c r="G8" s="159"/>
      <c r="I8" s="162"/>
      <c r="J8" s="164" t="str">
        <f>Products!B19</f>
        <v>полотно розміром 100</v>
      </c>
      <c r="K8" s="137">
        <f>Products!E19</f>
        <v>850</v>
      </c>
    </row>
    <row r="9" spans="1:11" ht="12.75" customHeight="1" x14ac:dyDescent="0.25">
      <c r="A9" s="29"/>
      <c r="B9" s="364"/>
      <c r="C9" s="127" t="str">
        <f>Products!C12</f>
        <v>заповнення:</v>
      </c>
      <c r="D9" s="128" t="str">
        <f>Products!D12</f>
        <v>MDF</v>
      </c>
      <c r="E9" s="128" t="str">
        <f>Products!F12</f>
        <v>MDF</v>
      </c>
      <c r="F9" s="304"/>
      <c r="G9" s="159"/>
      <c r="I9" s="162"/>
      <c r="J9" s="164" t="str">
        <f>Products!B20</f>
        <v>вентиляційні віддушини (1 ряд)</v>
      </c>
      <c r="K9" s="139">
        <f>Products!E20</f>
        <v>290</v>
      </c>
    </row>
    <row r="10" spans="1:11" ht="12.75" customHeight="1" x14ac:dyDescent="0.25">
      <c r="A10" s="29"/>
      <c r="B10" s="365"/>
      <c r="C10" s="127" t="str">
        <f>Products!C13</f>
        <v>скління:</v>
      </c>
      <c r="D10" s="128" t="str">
        <f>Products!D13</f>
        <v>Сатин</v>
      </c>
      <c r="E10" s="128" t="str">
        <f>Products!F13</f>
        <v>Сатин</v>
      </c>
      <c r="F10" s="304"/>
      <c r="G10" s="159"/>
      <c r="I10" s="162"/>
      <c r="J10" s="164" t="str">
        <f>Products!B21</f>
        <v>вентиляційний підріз</v>
      </c>
      <c r="K10" s="139">
        <f>Products!E21</f>
        <v>195</v>
      </c>
    </row>
    <row r="11" spans="1:11" x14ac:dyDescent="0.25">
      <c r="A11" s="29"/>
      <c r="B11" s="13" t="str">
        <f>Products!B14</f>
        <v>Viva 1</v>
      </c>
      <c r="C11" s="122"/>
      <c r="D11" s="137">
        <f>Products!E14</f>
        <v>5540</v>
      </c>
      <c r="E11" s="137">
        <f>Products!G14</f>
        <v>6290</v>
      </c>
      <c r="F11" s="146"/>
      <c r="G11" s="159"/>
      <c r="I11" s="162"/>
      <c r="J11" s="164" t="str">
        <f>Products!B22</f>
        <v>скло lacobel чорне</v>
      </c>
      <c r="K11" s="139">
        <f>Products!E22</f>
        <v>520</v>
      </c>
    </row>
    <row r="12" spans="1:11" x14ac:dyDescent="0.25">
      <c r="A12" s="29"/>
      <c r="B12" s="21" t="str">
        <f>Products!B15</f>
        <v>Viva 2</v>
      </c>
      <c r="C12" s="124"/>
      <c r="D12" s="141">
        <f>Products!E15</f>
        <v>5440.0000000000009</v>
      </c>
      <c r="E12" s="141">
        <f>Products!G15</f>
        <v>6290</v>
      </c>
      <c r="F12" s="146"/>
      <c r="G12" s="166"/>
      <c r="I12" s="162"/>
      <c r="J12" s="164" t="str">
        <f>Products!B23</f>
        <v>ручка-замок (для дверей купе)</v>
      </c>
      <c r="K12" s="139">
        <f>Products!E23</f>
        <v>640</v>
      </c>
    </row>
    <row r="13" spans="1:11" x14ac:dyDescent="0.25">
      <c r="I13" s="247"/>
      <c r="J13" s="164" t="str">
        <f>Products!B24</f>
        <v>накладка на завіси (1 к-т)</v>
      </c>
      <c r="K13" s="139">
        <f>Products!E24</f>
        <v>90</v>
      </c>
    </row>
    <row r="14" spans="1:11" x14ac:dyDescent="0.25">
      <c r="I14" s="247"/>
      <c r="J14" s="164" t="str">
        <f>Products!B25</f>
        <v>дверна ручка</v>
      </c>
      <c r="K14" s="210" t="str">
        <f>Products!E25</f>
        <v>див.Таблицю Ручки</v>
      </c>
    </row>
    <row r="16" spans="1:11" s="29" customFormat="1" ht="12.75" customHeight="1" x14ac:dyDescent="0.25">
      <c r="B16" s="372" t="str">
        <f>Products!B49</f>
        <v>Полотна збірні:  ECO-ELIT</v>
      </c>
      <c r="C16" s="373"/>
      <c r="D16" s="373"/>
      <c r="E16" s="373"/>
      <c r="F16" s="130"/>
      <c r="G16" s="130"/>
      <c r="H16" s="130"/>
      <c r="I16" s="305"/>
      <c r="J16" s="306"/>
      <c r="K16" s="307"/>
    </row>
    <row r="17" spans="1:11" ht="12.75" customHeight="1" x14ac:dyDescent="0.25">
      <c r="A17" s="29"/>
      <c r="B17" s="363" t="str">
        <f>Products!B51</f>
        <v>модель</v>
      </c>
      <c r="C17" s="127" t="str">
        <f>Products!C51</f>
        <v>покриття:</v>
      </c>
      <c r="D17" s="128" t="str">
        <f>Products!D51</f>
        <v>ECO-CELL</v>
      </c>
      <c r="E17" s="128" t="str">
        <f>Products!F51</f>
        <v>ECO-RESIST</v>
      </c>
      <c r="F17" s="302"/>
      <c r="G17" s="159"/>
      <c r="I17" s="160"/>
      <c r="J17" s="161" t="str">
        <f>Products!B59</f>
        <v>полотно розміром 100</v>
      </c>
      <c r="K17" s="137">
        <f>Products!E59</f>
        <v>850</v>
      </c>
    </row>
    <row r="18" spans="1:11" ht="12.75" customHeight="1" x14ac:dyDescent="0.25">
      <c r="A18" s="29"/>
      <c r="B18" s="364"/>
      <c r="C18" s="127" t="str">
        <f>Products!C52</f>
        <v>заповнення:</v>
      </c>
      <c r="D18" s="128" t="str">
        <f>Products!D52</f>
        <v>MDF</v>
      </c>
      <c r="E18" s="128" t="str">
        <f>Products!F52</f>
        <v>MDF</v>
      </c>
      <c r="F18" s="304"/>
      <c r="G18" s="159"/>
      <c r="I18" s="162"/>
      <c r="J18" s="164" t="str">
        <f>Products!B60</f>
        <v>вентиляційні віддушини (1 ряд)</v>
      </c>
      <c r="K18" s="137">
        <f>Products!E60</f>
        <v>290</v>
      </c>
    </row>
    <row r="19" spans="1:11" ht="12.75" customHeight="1" x14ac:dyDescent="0.25">
      <c r="A19" s="29"/>
      <c r="B19" s="365"/>
      <c r="C19" s="127" t="str">
        <f>Products!C53</f>
        <v>скління:</v>
      </c>
      <c r="D19" s="128" t="str">
        <f>Products!D53</f>
        <v>Сатин</v>
      </c>
      <c r="E19" s="128" t="str">
        <f>Products!F53</f>
        <v>Сатин</v>
      </c>
      <c r="F19" s="304"/>
      <c r="G19" s="159"/>
      <c r="I19" s="162"/>
      <c r="J19" s="164" t="str">
        <f>Products!B61</f>
        <v>вентиляційний підріз</v>
      </c>
      <c r="K19" s="137">
        <f>Products!E61</f>
        <v>195</v>
      </c>
    </row>
    <row r="20" spans="1:11" x14ac:dyDescent="0.25">
      <c r="A20" s="29"/>
      <c r="B20" s="13" t="str">
        <f>Products!B23</f>
        <v>ручка-замок (для дверей купе)</v>
      </c>
      <c r="C20" s="122"/>
      <c r="D20" s="137">
        <f>Products!E54</f>
        <v>5340</v>
      </c>
      <c r="E20" s="137">
        <f>Products!G54</f>
        <v>6190.0000000000009</v>
      </c>
      <c r="F20" s="146"/>
      <c r="G20" s="159"/>
      <c r="I20" s="162"/>
      <c r="J20" s="164" t="str">
        <f>Products!B62</f>
        <v>скло lacobel чорне</v>
      </c>
      <c r="K20" s="137">
        <f>Products!E62</f>
        <v>520</v>
      </c>
    </row>
    <row r="21" spans="1:11" x14ac:dyDescent="0.25">
      <c r="A21" s="29"/>
      <c r="B21" s="21" t="str">
        <f>Products!B24</f>
        <v>накладка на завіси (1 к-т)</v>
      </c>
      <c r="C21" s="124"/>
      <c r="D21" s="141">
        <f>Products!E55</f>
        <v>5340</v>
      </c>
      <c r="E21" s="141">
        <f>Products!G55</f>
        <v>6190.0000000000009</v>
      </c>
      <c r="F21" s="146"/>
      <c r="G21" s="166"/>
      <c r="I21" s="162"/>
      <c r="J21" s="164" t="str">
        <f>Products!B63</f>
        <v>ручка-замок (для дверей купе)</v>
      </c>
      <c r="K21" s="137">
        <f>Products!E63</f>
        <v>640</v>
      </c>
    </row>
    <row r="22" spans="1:11" x14ac:dyDescent="0.25">
      <c r="I22" s="247"/>
      <c r="J22" s="164" t="str">
        <f>Products!B64</f>
        <v>накладка на завіси (1 к-т)</v>
      </c>
      <c r="K22" s="137">
        <f>Products!E64</f>
        <v>90</v>
      </c>
    </row>
    <row r="23" spans="1:11" x14ac:dyDescent="0.25">
      <c r="I23" s="247"/>
      <c r="J23" s="164" t="str">
        <f>Products!B65</f>
        <v>дверна ручка</v>
      </c>
      <c r="K23" s="308" t="str">
        <f>Products!E65</f>
        <v>див.Таблицю Ручки</v>
      </c>
    </row>
    <row r="25" spans="1:11" s="29" customFormat="1" ht="12.75" customHeight="1" x14ac:dyDescent="0.25">
      <c r="B25" s="372" t="str">
        <f>Products!B83</f>
        <v>Полотна збірні:ECO-FLORENCIA</v>
      </c>
      <c r="C25" s="373"/>
      <c r="D25" s="373"/>
      <c r="E25" s="373"/>
      <c r="F25" s="130"/>
      <c r="G25" s="130"/>
      <c r="H25" s="130"/>
      <c r="I25" s="305"/>
      <c r="J25" s="306"/>
      <c r="K25" s="307"/>
    </row>
    <row r="26" spans="1:11" ht="12.75" customHeight="1" x14ac:dyDescent="0.25">
      <c r="A26" s="29"/>
      <c r="B26" s="363" t="str">
        <f>Products!B85</f>
        <v>модель</v>
      </c>
      <c r="C26" s="127" t="str">
        <f>Products!C85</f>
        <v>покриття:</v>
      </c>
      <c r="D26" s="128" t="str">
        <f>Products!D85</f>
        <v>ECO-CELL</v>
      </c>
      <c r="E26" s="128" t="str">
        <f>Products!F85</f>
        <v>ECO-RESIST</v>
      </c>
      <c r="F26" s="302"/>
      <c r="G26" s="159"/>
      <c r="I26" s="160"/>
      <c r="J26" s="161" t="str">
        <f>Products!B93</f>
        <v>полотно розміром 100</v>
      </c>
      <c r="K26" s="137">
        <f>Products!E93</f>
        <v>850</v>
      </c>
    </row>
    <row r="27" spans="1:11" ht="12.75" customHeight="1" x14ac:dyDescent="0.25">
      <c r="A27" s="29"/>
      <c r="B27" s="364"/>
      <c r="C27" s="127" t="str">
        <f>Products!C86</f>
        <v>заповнення:</v>
      </c>
      <c r="D27" s="128" t="str">
        <f>Products!D86</f>
        <v>MDF</v>
      </c>
      <c r="E27" s="128" t="str">
        <f>Products!F86</f>
        <v>MDF</v>
      </c>
      <c r="F27" s="304"/>
      <c r="G27" s="159"/>
      <c r="I27" s="162"/>
      <c r="J27" s="161" t="str">
        <f>Products!B94</f>
        <v>вентиляційні віддушини (1 ряд)</v>
      </c>
      <c r="K27" s="137">
        <f>Products!E94</f>
        <v>290</v>
      </c>
    </row>
    <row r="28" spans="1:11" ht="12.75" customHeight="1" x14ac:dyDescent="0.25">
      <c r="A28" s="29"/>
      <c r="B28" s="365"/>
      <c r="C28" s="127" t="str">
        <f>Products!C87</f>
        <v>скління:</v>
      </c>
      <c r="D28" s="128" t="str">
        <f>Products!D87</f>
        <v>Сатин</v>
      </c>
      <c r="E28" s="128" t="str">
        <f>Products!F87</f>
        <v>Сатин</v>
      </c>
      <c r="F28" s="304"/>
      <c r="G28" s="159"/>
      <c r="I28" s="162"/>
      <c r="J28" s="161" t="str">
        <f>Products!B95</f>
        <v>вентиляційний підріз</v>
      </c>
      <c r="K28" s="137">
        <f>Products!E95</f>
        <v>195</v>
      </c>
    </row>
    <row r="29" spans="1:11" x14ac:dyDescent="0.25">
      <c r="A29" s="29"/>
      <c r="B29" s="13" t="str">
        <f>Products!B88</f>
        <v>Florencia 1</v>
      </c>
      <c r="C29" s="122"/>
      <c r="D29" s="137">
        <f>Products!E88</f>
        <v>5310</v>
      </c>
      <c r="E29" s="137">
        <f>Products!G88</f>
        <v>6160.0000000000009</v>
      </c>
      <c r="F29" s="146"/>
      <c r="G29" s="159"/>
      <c r="I29" s="162"/>
      <c r="J29" s="161" t="str">
        <f>Products!B96</f>
        <v>скло lacobel чорне</v>
      </c>
      <c r="K29" s="137">
        <f>Products!E96</f>
        <v>520</v>
      </c>
    </row>
    <row r="30" spans="1:11" x14ac:dyDescent="0.25">
      <c r="A30" s="29"/>
      <c r="B30" s="21" t="str">
        <f>Products!B89</f>
        <v>Florencia 2</v>
      </c>
      <c r="C30" s="124"/>
      <c r="D30" s="141">
        <f>Products!E89</f>
        <v>5310</v>
      </c>
      <c r="E30" s="141">
        <f>Products!G89</f>
        <v>6160.0000000000009</v>
      </c>
      <c r="F30" s="146"/>
      <c r="G30" s="166"/>
      <c r="I30" s="162"/>
      <c r="J30" s="161" t="str">
        <f>Products!B97</f>
        <v>ручка-замок (для дверей купе)</v>
      </c>
      <c r="K30" s="137">
        <f>Products!E97</f>
        <v>640</v>
      </c>
    </row>
    <row r="31" spans="1:11" x14ac:dyDescent="0.25">
      <c r="I31" s="247"/>
      <c r="J31" s="161" t="str">
        <f>Products!B98</f>
        <v>накладка на завіси (1 к-т)</v>
      </c>
      <c r="K31" s="137">
        <f>Products!E98</f>
        <v>90</v>
      </c>
    </row>
    <row r="32" spans="1:11" x14ac:dyDescent="0.25">
      <c r="I32" s="247"/>
      <c r="J32" s="161" t="str">
        <f>Products!B99</f>
        <v>дверна ручка</v>
      </c>
      <c r="K32" s="308" t="str">
        <f>Products!E99</f>
        <v>див.Таблицю Ручки</v>
      </c>
    </row>
    <row r="34" spans="1:11" s="29" customFormat="1" ht="12.75" customHeight="1" x14ac:dyDescent="0.25">
      <c r="B34" s="372" t="str">
        <f>Products!B134</f>
        <v>Полотна збірні: ECO-NEAPOL</v>
      </c>
      <c r="C34" s="373"/>
      <c r="D34" s="373"/>
      <c r="E34" s="373"/>
      <c r="F34" s="130"/>
      <c r="G34" s="130"/>
      <c r="H34" s="130"/>
      <c r="I34" s="305"/>
      <c r="J34" s="306"/>
      <c r="K34" s="307"/>
    </row>
    <row r="35" spans="1:11" ht="12.75" customHeight="1" x14ac:dyDescent="0.25">
      <c r="A35" s="29"/>
      <c r="B35" s="363" t="str">
        <f>Products!B136</f>
        <v>модель</v>
      </c>
      <c r="C35" s="127" t="str">
        <f>Products!C136</f>
        <v>покриття:</v>
      </c>
      <c r="D35" s="128" t="str">
        <f>Products!D136</f>
        <v>ECO-CELL</v>
      </c>
      <c r="E35" s="128" t="str">
        <f>Products!F136</f>
        <v>ECO-RESIST</v>
      </c>
      <c r="F35" s="302"/>
      <c r="G35" s="159"/>
      <c r="I35" s="160"/>
      <c r="J35" s="161" t="str">
        <f>Products!B144</f>
        <v>полотно розміром 100</v>
      </c>
      <c r="K35" s="137">
        <f>Products!E144</f>
        <v>850</v>
      </c>
    </row>
    <row r="36" spans="1:11" ht="12.75" customHeight="1" x14ac:dyDescent="0.25">
      <c r="A36" s="29"/>
      <c r="B36" s="364"/>
      <c r="C36" s="127" t="str">
        <f>Products!C137</f>
        <v>заповнення:</v>
      </c>
      <c r="D36" s="128" t="str">
        <f>Products!D137</f>
        <v>MDF</v>
      </c>
      <c r="E36" s="128" t="str">
        <f>Products!F137</f>
        <v>MDF</v>
      </c>
      <c r="F36" s="304"/>
      <c r="G36" s="159"/>
      <c r="I36" s="162"/>
      <c r="J36" s="163" t="str">
        <f>Products!B145</f>
        <v>вентиляційні віддушини (1 ряд)</v>
      </c>
      <c r="K36" s="137">
        <f>Products!E145</f>
        <v>290</v>
      </c>
    </row>
    <row r="37" spans="1:11" ht="12.75" customHeight="1" x14ac:dyDescent="0.25">
      <c r="A37" s="29"/>
      <c r="B37" s="365"/>
      <c r="C37" s="127" t="str">
        <f>Products!C138</f>
        <v>скління:</v>
      </c>
      <c r="D37" s="128" t="str">
        <f>Products!D138</f>
        <v>Сатин</v>
      </c>
      <c r="E37" s="128" t="str">
        <f>Products!F138</f>
        <v>Сатин</v>
      </c>
      <c r="F37" s="304"/>
      <c r="G37" s="159"/>
      <c r="I37" s="162"/>
      <c r="J37" s="163" t="str">
        <f>Products!B146</f>
        <v>вентиляційний підріз</v>
      </c>
      <c r="K37" s="137">
        <f>Products!E146</f>
        <v>195</v>
      </c>
    </row>
    <row r="38" spans="1:11" x14ac:dyDescent="0.25">
      <c r="A38" s="29"/>
      <c r="B38" s="13" t="str">
        <f>Products!B139</f>
        <v>Neapol 1</v>
      </c>
      <c r="C38" s="122"/>
      <c r="D38" s="137">
        <f>Products!E139</f>
        <v>5310</v>
      </c>
      <c r="E38" s="137">
        <f>Products!G139</f>
        <v>6160.0000000000009</v>
      </c>
      <c r="F38" s="146"/>
      <c r="G38" s="159"/>
      <c r="I38" s="162"/>
      <c r="J38" s="163" t="str">
        <f>Products!B147</f>
        <v>скло lacobel чорне</v>
      </c>
      <c r="K38" s="137">
        <f>Products!E147</f>
        <v>520</v>
      </c>
    </row>
    <row r="39" spans="1:11" x14ac:dyDescent="0.25">
      <c r="A39" s="29"/>
      <c r="B39" s="21" t="str">
        <f>Products!B140</f>
        <v>Neapol 2</v>
      </c>
      <c r="C39" s="124"/>
      <c r="D39" s="141">
        <f>Products!E140</f>
        <v>5310</v>
      </c>
      <c r="E39" s="141">
        <f>Products!G140</f>
        <v>6160.0000000000009</v>
      </c>
      <c r="F39" s="146"/>
      <c r="G39" s="166"/>
      <c r="I39" s="162"/>
      <c r="J39" s="163" t="str">
        <f>Products!B148</f>
        <v>ручка-замок (для дверей купе)</v>
      </c>
      <c r="K39" s="137">
        <f>Products!E148</f>
        <v>640</v>
      </c>
    </row>
    <row r="40" spans="1:11" x14ac:dyDescent="0.25">
      <c r="I40" s="247"/>
      <c r="J40" s="163" t="str">
        <f>Products!B149</f>
        <v>накладка на завіси (1 к-т)</v>
      </c>
      <c r="K40" s="137">
        <f>Products!E149</f>
        <v>90</v>
      </c>
    </row>
    <row r="41" spans="1:11" x14ac:dyDescent="0.25">
      <c r="I41" s="247"/>
      <c r="J41" s="163" t="str">
        <f>Products!B150</f>
        <v>дверна ручка</v>
      </c>
      <c r="K41" s="308" t="str">
        <f>Products!E150</f>
        <v>див.Таблицю Ручки</v>
      </c>
    </row>
    <row r="43" spans="1:11" s="29" customFormat="1" ht="12.75" customHeight="1" x14ac:dyDescent="0.25">
      <c r="B43" s="372" t="str">
        <f>TITLE!$C$13</f>
        <v>Полотна збірні: ECO-TANGO</v>
      </c>
      <c r="C43" s="373"/>
      <c r="D43" s="373"/>
      <c r="E43" s="373"/>
      <c r="F43" s="130"/>
      <c r="G43" s="130"/>
      <c r="H43" s="130"/>
      <c r="I43" s="130"/>
      <c r="J43" s="125"/>
      <c r="K43" s="126"/>
    </row>
    <row r="44" spans="1:11" ht="12.75" customHeight="1" x14ac:dyDescent="0.25">
      <c r="A44" s="29"/>
      <c r="B44" s="363" t="str">
        <f>Products!B184</f>
        <v>модель</v>
      </c>
      <c r="C44" s="127" t="str">
        <f>Products!C184</f>
        <v>покриття:</v>
      </c>
      <c r="D44" s="128" t="str">
        <f>Products!D184</f>
        <v>ECO-CELL</v>
      </c>
      <c r="E44" s="128" t="str">
        <f>Products!F184</f>
        <v>ECO-RESIST</v>
      </c>
      <c r="F44" s="106"/>
      <c r="G44" s="159"/>
      <c r="I44" s="160"/>
      <c r="J44" s="161" t="str">
        <f>Products!B197</f>
        <v>полотно розміром 100</v>
      </c>
      <c r="K44" s="137">
        <f>Products!E197</f>
        <v>850</v>
      </c>
    </row>
    <row r="45" spans="1:11" ht="12.75" customHeight="1" x14ac:dyDescent="0.25">
      <c r="A45" s="29"/>
      <c r="B45" s="364"/>
      <c r="C45" s="118" t="str">
        <f>Products!C185</f>
        <v>заповнення:</v>
      </c>
      <c r="D45" s="129" t="str">
        <f>Products!D185</f>
        <v>MDF</v>
      </c>
      <c r="E45" s="129" t="str">
        <f>Products!F185</f>
        <v>MDF</v>
      </c>
      <c r="F45" s="120"/>
      <c r="G45" s="159"/>
      <c r="I45" s="162"/>
      <c r="J45" s="163" t="str">
        <f>Products!B198</f>
        <v>вентиляційні віддушини (1 ряд)</v>
      </c>
      <c r="K45" s="139">
        <f>Products!E198</f>
        <v>290</v>
      </c>
    </row>
    <row r="46" spans="1:11" ht="12.75" customHeight="1" x14ac:dyDescent="0.25">
      <c r="A46" s="29"/>
      <c r="B46" s="365"/>
      <c r="C46" s="119" t="str">
        <f>Products!C186</f>
        <v>скління:</v>
      </c>
      <c r="D46" s="121" t="str">
        <f>Products!D186</f>
        <v>Сатин</v>
      </c>
      <c r="E46" s="121" t="str">
        <f>Products!F186</f>
        <v>Сатин</v>
      </c>
      <c r="F46" s="120"/>
      <c r="G46" s="159"/>
      <c r="I46" s="162"/>
      <c r="J46" s="163" t="str">
        <f>Products!B199</f>
        <v>вентиляційний підріз</v>
      </c>
      <c r="K46" s="139">
        <f>Products!E199</f>
        <v>195</v>
      </c>
    </row>
    <row r="47" spans="1:11" x14ac:dyDescent="0.25">
      <c r="A47" s="29"/>
      <c r="B47" s="13" t="str">
        <f>Products!B187</f>
        <v>Tango 1</v>
      </c>
      <c r="C47" s="122"/>
      <c r="D47" s="137">
        <f>Products!E187</f>
        <v>5190</v>
      </c>
      <c r="E47" s="137">
        <f>Products!G187</f>
        <v>6030</v>
      </c>
      <c r="F47" s="146"/>
      <c r="G47" s="159"/>
      <c r="I47" s="162"/>
      <c r="J47" s="163" t="str">
        <f>Products!B200</f>
        <v>ручка-замок (для дверей купе)</v>
      </c>
      <c r="K47" s="139">
        <f>Products!E200</f>
        <v>640</v>
      </c>
    </row>
    <row r="48" spans="1:11" x14ac:dyDescent="0.25">
      <c r="A48" s="29"/>
      <c r="B48" s="16" t="str">
        <f>Products!B188</f>
        <v>Tango 2</v>
      </c>
      <c r="C48" s="123"/>
      <c r="D48" s="139">
        <f>Products!E188</f>
        <v>5190</v>
      </c>
      <c r="E48" s="139">
        <f>Products!G188</f>
        <v>6030</v>
      </c>
      <c r="F48" s="146"/>
      <c r="G48" s="166"/>
      <c r="I48" s="162"/>
      <c r="J48" s="163" t="str">
        <f>Products!B201</f>
        <v>накладка на завіси (1 к-т)</v>
      </c>
      <c r="K48" s="139">
        <f>Products!E201</f>
        <v>90</v>
      </c>
    </row>
    <row r="49" spans="1:11" x14ac:dyDescent="0.25">
      <c r="A49" s="29"/>
      <c r="B49" s="16" t="str">
        <f>Products!B189</f>
        <v>Tango 3</v>
      </c>
      <c r="C49" s="123"/>
      <c r="D49" s="139">
        <f>Products!E189</f>
        <v>5190</v>
      </c>
      <c r="E49" s="139">
        <f>Products!G189</f>
        <v>6030</v>
      </c>
      <c r="F49" s="146"/>
      <c r="G49" s="166"/>
      <c r="I49" s="162"/>
      <c r="J49" s="163" t="str">
        <f>Products!B202</f>
        <v>дверна ручка</v>
      </c>
      <c r="K49" s="210" t="str">
        <f>Products!E202</f>
        <v>див.Таблицю Ручки</v>
      </c>
    </row>
    <row r="50" spans="1:11" x14ac:dyDescent="0.25">
      <c r="A50" s="29"/>
      <c r="B50" s="16" t="str">
        <f>Products!B190</f>
        <v>Tango 4</v>
      </c>
      <c r="C50" s="123"/>
      <c r="D50" s="139">
        <f>Products!E190</f>
        <v>5190</v>
      </c>
      <c r="E50" s="139">
        <f>Products!G190</f>
        <v>6030</v>
      </c>
      <c r="F50" s="146"/>
      <c r="G50" s="167"/>
    </row>
    <row r="51" spans="1:11" x14ac:dyDescent="0.25">
      <c r="A51" s="29"/>
      <c r="B51" s="16" t="str">
        <f>Products!B191</f>
        <v>Tango 5</v>
      </c>
      <c r="C51" s="123"/>
      <c r="D51" s="139">
        <f>Products!E191</f>
        <v>5190</v>
      </c>
      <c r="E51" s="139">
        <f>Products!G191</f>
        <v>6030</v>
      </c>
      <c r="F51" s="146"/>
      <c r="G51" s="166"/>
      <c r="H51" s="146"/>
      <c r="I51" s="146"/>
      <c r="J51" s="146"/>
    </row>
    <row r="52" spans="1:11" x14ac:dyDescent="0.25">
      <c r="A52" s="29"/>
      <c r="B52" s="16" t="str">
        <f>Products!B192</f>
        <v>Tango 6</v>
      </c>
      <c r="C52" s="123"/>
      <c r="D52" s="139">
        <f>Products!E192</f>
        <v>5190</v>
      </c>
      <c r="E52" s="139">
        <f>Products!G192</f>
        <v>6030</v>
      </c>
      <c r="F52" s="146"/>
      <c r="G52" s="167"/>
      <c r="H52" s="146"/>
      <c r="I52" s="146"/>
      <c r="J52" s="146"/>
    </row>
    <row r="53" spans="1:11" x14ac:dyDescent="0.25">
      <c r="A53" s="29"/>
      <c r="B53" s="21" t="str">
        <f>Products!B193</f>
        <v>Tango 7</v>
      </c>
      <c r="C53" s="124"/>
      <c r="D53" s="141">
        <f>Products!E193</f>
        <v>5190</v>
      </c>
      <c r="E53" s="141">
        <f>Products!G193</f>
        <v>6030</v>
      </c>
      <c r="F53" s="146"/>
      <c r="G53" s="166"/>
      <c r="H53" s="146"/>
      <c r="I53" s="146"/>
      <c r="J53" s="146"/>
    </row>
    <row r="54" spans="1:11" x14ac:dyDescent="0.25">
      <c r="C54" s="31"/>
      <c r="D54" s="31"/>
      <c r="E54" s="31"/>
      <c r="F54" s="29"/>
      <c r="G54" s="29"/>
      <c r="I54" s="146"/>
      <c r="J54" s="146"/>
      <c r="K54" s="146"/>
    </row>
    <row r="55" spans="1:11" ht="16.95" customHeight="1" x14ac:dyDescent="0.25">
      <c r="C55" s="31"/>
      <c r="D55" s="31"/>
      <c r="E55" s="31"/>
      <c r="F55" s="29"/>
      <c r="G55" s="29"/>
    </row>
    <row r="56" spans="1:11" s="29" customFormat="1" ht="12.75" customHeight="1" x14ac:dyDescent="0.25">
      <c r="B56" s="372" t="str">
        <f>TITLE!$C$14</f>
        <v>Полотна збірні: ECO-MILANO</v>
      </c>
      <c r="C56" s="373"/>
      <c r="D56" s="373"/>
      <c r="E56" s="373"/>
      <c r="F56" s="130"/>
      <c r="G56" s="130"/>
      <c r="H56" s="130"/>
      <c r="I56" s="130"/>
      <c r="J56" s="125"/>
      <c r="K56" s="126"/>
    </row>
    <row r="57" spans="1:11" ht="12.75" customHeight="1" x14ac:dyDescent="0.25">
      <c r="A57" s="29"/>
      <c r="B57" s="363" t="str">
        <f>Products!B351</f>
        <v>модель</v>
      </c>
      <c r="C57" s="117" t="str">
        <f>Products!C351</f>
        <v>покриття:</v>
      </c>
      <c r="D57" s="99" t="str">
        <f>Products!D351</f>
        <v>ECO-CELL</v>
      </c>
      <c r="E57" s="99" t="str">
        <f>Products!F351</f>
        <v>ECO-RESIST</v>
      </c>
      <c r="F57" s="146"/>
      <c r="G57" s="159"/>
      <c r="I57" s="160"/>
      <c r="J57" s="161" t="str">
        <f>Products!B370</f>
        <v>полотно розміром 100</v>
      </c>
      <c r="K57" s="137">
        <f>Products!E370</f>
        <v>850</v>
      </c>
    </row>
    <row r="58" spans="1:11" ht="12.75" customHeight="1" x14ac:dyDescent="0.25">
      <c r="A58" s="29"/>
      <c r="B58" s="364"/>
      <c r="C58" s="118" t="str">
        <f>Products!C352</f>
        <v>заповнення:</v>
      </c>
      <c r="D58" s="104" t="str">
        <f>Products!D352</f>
        <v>MDF</v>
      </c>
      <c r="E58" s="104" t="str">
        <f>Products!F352</f>
        <v>MDF</v>
      </c>
      <c r="F58" s="146"/>
      <c r="G58" s="159"/>
      <c r="I58" s="162"/>
      <c r="J58" s="163" t="str">
        <f>Products!B371</f>
        <v>вентиляційні віддушини (1 ряд)</v>
      </c>
      <c r="K58" s="139">
        <f>Products!E371</f>
        <v>290</v>
      </c>
    </row>
    <row r="59" spans="1:11" ht="12.75" customHeight="1" x14ac:dyDescent="0.25">
      <c r="A59" s="29"/>
      <c r="B59" s="365"/>
      <c r="C59" s="119" t="str">
        <f>Products!C353</f>
        <v>скління:</v>
      </c>
      <c r="D59" s="98" t="str">
        <f>Products!D353</f>
        <v>Сатин</v>
      </c>
      <c r="E59" s="98" t="str">
        <f>Products!F353</f>
        <v>Сатин</v>
      </c>
      <c r="F59" s="146"/>
      <c r="G59" s="159"/>
      <c r="I59" s="162"/>
      <c r="J59" s="163" t="str">
        <f>Products!B372</f>
        <v>вентиляційний підріз</v>
      </c>
      <c r="K59" s="139">
        <f>Products!E372</f>
        <v>195</v>
      </c>
    </row>
    <row r="60" spans="1:11" x14ac:dyDescent="0.25">
      <c r="A60" s="29"/>
      <c r="B60" s="13" t="str">
        <f>Products!B354</f>
        <v>Milano 1</v>
      </c>
      <c r="C60" s="122"/>
      <c r="D60" s="138">
        <f>Products!E354</f>
        <v>5270</v>
      </c>
      <c r="E60" s="138">
        <f>Products!G354</f>
        <v>6110</v>
      </c>
      <c r="F60" s="146"/>
      <c r="I60" s="162"/>
      <c r="J60" s="163" t="str">
        <f>Products!B373</f>
        <v>скло lacobel чорне</v>
      </c>
      <c r="K60" s="139">
        <f>Products!E373</f>
        <v>520</v>
      </c>
    </row>
    <row r="61" spans="1:11" x14ac:dyDescent="0.25">
      <c r="A61" s="29"/>
      <c r="B61" s="16" t="str">
        <f>Products!B355</f>
        <v>Milano 2</v>
      </c>
      <c r="C61" s="123"/>
      <c r="D61" s="140">
        <f>Products!E355</f>
        <v>5270</v>
      </c>
      <c r="E61" s="140">
        <f>Products!G355</f>
        <v>6110</v>
      </c>
      <c r="F61" s="146"/>
      <c r="I61" s="162"/>
      <c r="J61" s="163" t="str">
        <f>Products!B374</f>
        <v>ручка-замок (для дверей купе)</v>
      </c>
      <c r="K61" s="139">
        <f>Products!E374</f>
        <v>640</v>
      </c>
    </row>
    <row r="62" spans="1:11" x14ac:dyDescent="0.25">
      <c r="A62" s="29"/>
      <c r="B62" s="16" t="str">
        <f>Products!B356</f>
        <v>Milano 3</v>
      </c>
      <c r="C62" s="123"/>
      <c r="D62" s="140">
        <f>Products!E356</f>
        <v>5270</v>
      </c>
      <c r="E62" s="140">
        <f>Products!G356</f>
        <v>6110</v>
      </c>
      <c r="F62" s="146"/>
      <c r="I62" s="162"/>
      <c r="J62" s="163" t="str">
        <f>Products!B375</f>
        <v>накладка на завіси (1 к-т)</v>
      </c>
      <c r="K62" s="139">
        <f>Products!E375</f>
        <v>90</v>
      </c>
    </row>
    <row r="63" spans="1:11" x14ac:dyDescent="0.25">
      <c r="A63" s="29"/>
      <c r="B63" s="16" t="str">
        <f>Products!B357</f>
        <v>Milano 4</v>
      </c>
      <c r="C63" s="123"/>
      <c r="D63" s="140">
        <f>Products!E357</f>
        <v>5270</v>
      </c>
      <c r="E63" s="140">
        <f>Products!G357</f>
        <v>6110</v>
      </c>
      <c r="F63" s="146"/>
      <c r="I63" s="162"/>
      <c r="J63" s="163" t="str">
        <f>Products!B376</f>
        <v>дверна ручка</v>
      </c>
      <c r="K63" s="210" t="str">
        <f>Products!E376</f>
        <v>див.Таблицю Ручки</v>
      </c>
    </row>
    <row r="64" spans="1:11" x14ac:dyDescent="0.25">
      <c r="A64" s="29"/>
      <c r="B64" s="16" t="str">
        <f>Products!B358</f>
        <v>Milano 5</v>
      </c>
      <c r="C64" s="123"/>
      <c r="D64" s="140">
        <f>Products!E358</f>
        <v>5270</v>
      </c>
      <c r="E64" s="140">
        <f>Products!G358</f>
        <v>6110</v>
      </c>
      <c r="F64" s="146"/>
    </row>
    <row r="65" spans="1:11" x14ac:dyDescent="0.25">
      <c r="A65" s="29"/>
      <c r="B65" s="16" t="str">
        <f>Products!B359</f>
        <v>Milano 6</v>
      </c>
      <c r="C65" s="123"/>
      <c r="D65" s="140">
        <f>Products!E359</f>
        <v>5270</v>
      </c>
      <c r="E65" s="140">
        <f>Products!G359</f>
        <v>6110</v>
      </c>
      <c r="F65" s="146"/>
    </row>
    <row r="66" spans="1:11" x14ac:dyDescent="0.25">
      <c r="A66" s="29"/>
      <c r="B66" s="16" t="str">
        <f>Products!B360</f>
        <v>Milano 7</v>
      </c>
      <c r="C66" s="123"/>
      <c r="D66" s="140">
        <f>Products!E360</f>
        <v>5270</v>
      </c>
      <c r="E66" s="140">
        <f>Products!G360</f>
        <v>6110</v>
      </c>
      <c r="F66" s="146"/>
    </row>
    <row r="67" spans="1:11" x14ac:dyDescent="0.25">
      <c r="A67" s="29"/>
      <c r="B67" s="16" t="str">
        <f>Products!B361</f>
        <v>Milano 8</v>
      </c>
      <c r="C67" s="123"/>
      <c r="D67" s="140">
        <f>Products!E361</f>
        <v>5270</v>
      </c>
      <c r="E67" s="140">
        <f>Products!G361</f>
        <v>6110</v>
      </c>
      <c r="F67" s="146"/>
    </row>
    <row r="68" spans="1:11" x14ac:dyDescent="0.25">
      <c r="A68" s="29"/>
      <c r="B68" s="16" t="str">
        <f>Products!B362</f>
        <v>Milano 9</v>
      </c>
      <c r="C68" s="123"/>
      <c r="D68" s="140">
        <f>Products!E362</f>
        <v>5270</v>
      </c>
      <c r="E68" s="140">
        <f>Products!G362</f>
        <v>6110</v>
      </c>
      <c r="F68" s="146"/>
    </row>
    <row r="69" spans="1:11" x14ac:dyDescent="0.25">
      <c r="A69" s="29"/>
      <c r="B69" s="16" t="str">
        <f>Products!B363</f>
        <v>Milano 1А</v>
      </c>
      <c r="C69" s="123"/>
      <c r="D69" s="140">
        <f>Products!E363</f>
        <v>5270</v>
      </c>
      <c r="E69" s="140">
        <f>Products!G363</f>
        <v>6110</v>
      </c>
      <c r="F69" s="146"/>
    </row>
    <row r="70" spans="1:11" x14ac:dyDescent="0.25">
      <c r="A70" s="29"/>
      <c r="B70" s="16" t="str">
        <f>Products!B364</f>
        <v>Milano 2А</v>
      </c>
      <c r="C70" s="123"/>
      <c r="D70" s="140">
        <f>Products!E364</f>
        <v>5270</v>
      </c>
      <c r="E70" s="140">
        <f>Products!G364</f>
        <v>6110</v>
      </c>
      <c r="F70" s="146"/>
    </row>
    <row r="71" spans="1:11" x14ac:dyDescent="0.25">
      <c r="A71" s="29"/>
      <c r="B71" s="16" t="str">
        <f>Products!B365</f>
        <v>Milano 3А</v>
      </c>
      <c r="C71" s="123"/>
      <c r="D71" s="140">
        <f>Products!E365</f>
        <v>5270</v>
      </c>
      <c r="E71" s="140">
        <f>Products!G365</f>
        <v>6110</v>
      </c>
      <c r="F71" s="146"/>
    </row>
    <row r="72" spans="1:11" x14ac:dyDescent="0.25">
      <c r="A72" s="29"/>
      <c r="B72" s="21" t="str">
        <f>Products!B366</f>
        <v>Milano 4А</v>
      </c>
      <c r="C72" s="124"/>
      <c r="D72" s="142">
        <f>Products!E366</f>
        <v>5270</v>
      </c>
      <c r="E72" s="142">
        <f>Products!G366</f>
        <v>6110</v>
      </c>
      <c r="F72" s="146"/>
    </row>
    <row r="73" spans="1:11" ht="13.8" x14ac:dyDescent="0.3">
      <c r="B73" s="168"/>
      <c r="C73" s="31"/>
      <c r="D73" s="31"/>
      <c r="E73" s="31"/>
      <c r="F73" s="29"/>
    </row>
    <row r="74" spans="1:11" s="29" customFormat="1" ht="12.75" customHeight="1" x14ac:dyDescent="0.25">
      <c r="B74" s="372" t="str">
        <f>Products!B427</f>
        <v>Полотна збірні: ECO-LIANO</v>
      </c>
      <c r="C74" s="373"/>
      <c r="D74" s="373"/>
      <c r="E74" s="373"/>
      <c r="F74" s="130"/>
      <c r="G74" s="130"/>
      <c r="H74" s="130"/>
      <c r="I74" s="130"/>
      <c r="J74" s="125"/>
      <c r="K74" s="126"/>
    </row>
    <row r="75" spans="1:11" ht="12.75" customHeight="1" x14ac:dyDescent="0.25">
      <c r="A75" s="29"/>
      <c r="B75" s="363" t="str">
        <f>Products!B429</f>
        <v>модель</v>
      </c>
      <c r="C75" s="117" t="str">
        <f>Products!C429</f>
        <v>покриття:</v>
      </c>
      <c r="D75" s="99" t="str">
        <f>Products!D429</f>
        <v>ECO-CELL</v>
      </c>
      <c r="E75" s="99" t="str">
        <f>Products!F429</f>
        <v>ECO-RESIST</v>
      </c>
      <c r="F75" s="146"/>
      <c r="G75" s="159"/>
      <c r="I75" s="160"/>
      <c r="J75" s="161" t="str">
        <f>Products!B445</f>
        <v>полотно розміром 100</v>
      </c>
      <c r="K75" s="137">
        <f>Products!E445</f>
        <v>850</v>
      </c>
    </row>
    <row r="76" spans="1:11" ht="12.75" customHeight="1" x14ac:dyDescent="0.25">
      <c r="A76" s="29"/>
      <c r="B76" s="364"/>
      <c r="C76" s="118" t="str">
        <f>Products!C430</f>
        <v>заповнення:</v>
      </c>
      <c r="D76" s="104" t="str">
        <f>Products!D430</f>
        <v>MDF</v>
      </c>
      <c r="E76" s="104" t="str">
        <f>Products!F430</f>
        <v>MDF</v>
      </c>
      <c r="F76" s="146"/>
      <c r="G76" s="159"/>
      <c r="I76" s="162"/>
      <c r="J76" s="163" t="str">
        <f>Products!B446</f>
        <v>вентиляційні віддушини (1 ряд)</v>
      </c>
      <c r="K76" s="139">
        <f>Products!E446</f>
        <v>290</v>
      </c>
    </row>
    <row r="77" spans="1:11" ht="12.75" customHeight="1" x14ac:dyDescent="0.25">
      <c r="A77" s="29"/>
      <c r="B77" s="365"/>
      <c r="C77" s="119" t="str">
        <f>Products!C431</f>
        <v>скління:</v>
      </c>
      <c r="D77" s="98" t="str">
        <f>Products!D431</f>
        <v>Сатин</v>
      </c>
      <c r="E77" s="98" t="str">
        <f>Products!F431</f>
        <v>Сатин</v>
      </c>
      <c r="F77" s="146"/>
      <c r="G77" s="159"/>
      <c r="I77" s="162"/>
      <c r="J77" s="163" t="str">
        <f>Products!B447</f>
        <v>вентиляційний підріз</v>
      </c>
      <c r="K77" s="139">
        <f>Products!E447</f>
        <v>195</v>
      </c>
    </row>
    <row r="78" spans="1:11" x14ac:dyDescent="0.25">
      <c r="A78" s="29"/>
      <c r="B78" s="13" t="str">
        <f>Products!B432</f>
        <v>Liano 1</v>
      </c>
      <c r="C78" s="122"/>
      <c r="D78" s="138">
        <f>Products!E432</f>
        <v>5470.0000000000009</v>
      </c>
      <c r="E78" s="138">
        <f>Products!G432</f>
        <v>6200</v>
      </c>
      <c r="F78" s="146"/>
      <c r="I78" s="162"/>
      <c r="J78" s="163" t="str">
        <f>Products!B448</f>
        <v>ручка-замок (для дверей купе)</v>
      </c>
      <c r="K78" s="139">
        <f>Products!E448</f>
        <v>640</v>
      </c>
    </row>
    <row r="79" spans="1:11" x14ac:dyDescent="0.25">
      <c r="A79" s="29"/>
      <c r="B79" s="87" t="str">
        <f>Products!B433</f>
        <v>Liano 2</v>
      </c>
      <c r="C79" s="132"/>
      <c r="D79" s="143">
        <f>Products!E433</f>
        <v>5470.0000000000009</v>
      </c>
      <c r="E79" s="143">
        <f>Products!G433</f>
        <v>6200</v>
      </c>
      <c r="F79" s="146"/>
      <c r="I79" s="162"/>
      <c r="J79" s="163" t="str">
        <f>Products!B449</f>
        <v>накладка на завіси (1 к-т)</v>
      </c>
      <c r="K79" s="139">
        <f>Products!E449</f>
        <v>90</v>
      </c>
    </row>
    <row r="80" spans="1:11" x14ac:dyDescent="0.25">
      <c r="A80" s="29"/>
      <c r="B80" s="87" t="str">
        <f>Products!B434</f>
        <v>Liano 3</v>
      </c>
      <c r="C80" s="132"/>
      <c r="D80" s="143">
        <f>Products!E434</f>
        <v>5470.0000000000009</v>
      </c>
      <c r="E80" s="143">
        <f>Products!G434</f>
        <v>6200</v>
      </c>
      <c r="F80" s="146"/>
      <c r="I80" s="162"/>
      <c r="J80" s="163" t="str">
        <f>Products!B450</f>
        <v>дверна ручка</v>
      </c>
      <c r="K80" s="210" t="str">
        <f>Products!E450</f>
        <v>див.Таблицю Ручки</v>
      </c>
    </row>
    <row r="81" spans="1:11" x14ac:dyDescent="0.25">
      <c r="A81" s="29"/>
      <c r="B81" s="87" t="str">
        <f>Products!B435</f>
        <v>Liano 4</v>
      </c>
      <c r="C81" s="132"/>
      <c r="D81" s="143">
        <f>Products!E435</f>
        <v>5470.0000000000009</v>
      </c>
      <c r="E81" s="143">
        <f>Products!G435</f>
        <v>6200</v>
      </c>
      <c r="F81" s="146"/>
    </row>
    <row r="82" spans="1:11" x14ac:dyDescent="0.25">
      <c r="A82" s="29"/>
      <c r="B82" s="87" t="str">
        <f>Products!B436</f>
        <v>Liano 5</v>
      </c>
      <c r="C82" s="132"/>
      <c r="D82" s="143">
        <f>Products!E436</f>
        <v>5470.0000000000009</v>
      </c>
      <c r="E82" s="143">
        <f>Products!G436</f>
        <v>6200</v>
      </c>
      <c r="F82" s="146"/>
    </row>
    <row r="83" spans="1:11" x14ac:dyDescent="0.25">
      <c r="A83" s="29"/>
      <c r="B83" s="87" t="str">
        <f>Products!B437</f>
        <v>Liano 6</v>
      </c>
      <c r="C83" s="132"/>
      <c r="D83" s="143">
        <f>Products!E437</f>
        <v>5470.0000000000009</v>
      </c>
      <c r="E83" s="143">
        <f>Products!G437</f>
        <v>6200</v>
      </c>
      <c r="F83" s="146"/>
    </row>
    <row r="84" spans="1:11" x14ac:dyDescent="0.25">
      <c r="A84" s="29"/>
      <c r="B84" s="87" t="str">
        <f>Products!B438</f>
        <v>Liano 1А</v>
      </c>
      <c r="C84" s="132"/>
      <c r="D84" s="143">
        <f>Products!E438</f>
        <v>5470.0000000000009</v>
      </c>
      <c r="E84" s="143">
        <f>Products!G438</f>
        <v>6200</v>
      </c>
      <c r="F84" s="146"/>
    </row>
    <row r="85" spans="1:11" x14ac:dyDescent="0.25">
      <c r="A85" s="29"/>
      <c r="B85" s="87" t="str">
        <f>Products!B439</f>
        <v>Liano 2А</v>
      </c>
      <c r="C85" s="132"/>
      <c r="D85" s="143">
        <f>Products!E439</f>
        <v>5470.0000000000009</v>
      </c>
      <c r="E85" s="143">
        <f>Products!G439</f>
        <v>6200</v>
      </c>
      <c r="F85" s="146"/>
    </row>
    <row r="86" spans="1:11" x14ac:dyDescent="0.25">
      <c r="A86" s="29"/>
      <c r="B86" s="87" t="str">
        <f>Products!B440</f>
        <v>Liano 3А</v>
      </c>
      <c r="C86" s="132"/>
      <c r="D86" s="143">
        <f>Products!E440</f>
        <v>5470.0000000000009</v>
      </c>
      <c r="E86" s="143">
        <f>Products!G440</f>
        <v>6200</v>
      </c>
      <c r="F86" s="146"/>
    </row>
    <row r="87" spans="1:11" x14ac:dyDescent="0.25">
      <c r="A87" s="29"/>
      <c r="B87" s="206" t="str">
        <f>Products!B441</f>
        <v>Liano 4А</v>
      </c>
      <c r="C87" s="207"/>
      <c r="D87" s="208">
        <f>Products!E441</f>
        <v>5470.0000000000009</v>
      </c>
      <c r="E87" s="208">
        <f>Products!G441</f>
        <v>6200</v>
      </c>
      <c r="F87" s="146"/>
    </row>
    <row r="88" spans="1:11" x14ac:dyDescent="0.25">
      <c r="A88" s="29"/>
      <c r="B88" s="274"/>
      <c r="C88" s="275"/>
      <c r="D88" s="146"/>
      <c r="E88" s="146"/>
      <c r="F88" s="146"/>
      <c r="G88" s="146"/>
    </row>
    <row r="89" spans="1:11" x14ac:dyDescent="0.25">
      <c r="A89" s="29"/>
      <c r="B89" s="372" t="str">
        <f>Products!B501</f>
        <v>Полотна збірні: ECO-BERGAMO</v>
      </c>
      <c r="C89" s="373"/>
      <c r="D89" s="373"/>
      <c r="E89" s="373"/>
      <c r="F89" s="278"/>
      <c r="G89" s="130"/>
      <c r="H89" s="130"/>
      <c r="I89" s="130"/>
      <c r="J89" s="125"/>
      <c r="K89" s="126"/>
    </row>
    <row r="90" spans="1:11" x14ac:dyDescent="0.25">
      <c r="A90" s="29"/>
      <c r="B90" s="363" t="str">
        <f>Products!$B$503</f>
        <v>модель</v>
      </c>
      <c r="C90" s="117" t="str">
        <f>Products!$C$503</f>
        <v>покриття:</v>
      </c>
      <c r="D90" s="99" t="str">
        <f>Products!$D$503</f>
        <v>ECO-CELL</v>
      </c>
      <c r="E90" s="99" t="str">
        <f>Products!F503</f>
        <v>ECO-RESIST</v>
      </c>
      <c r="F90" s="146"/>
      <c r="G90" s="159"/>
      <c r="I90" s="160"/>
      <c r="J90" s="161" t="str">
        <f>Products!B519</f>
        <v>полотно розміром 100</v>
      </c>
      <c r="K90" s="137">
        <f>Products!E519</f>
        <v>850</v>
      </c>
    </row>
    <row r="91" spans="1:11" x14ac:dyDescent="0.25">
      <c r="A91" s="29"/>
      <c r="B91" s="364"/>
      <c r="C91" s="118" t="str">
        <f>Products!$C$504</f>
        <v>заповнення:</v>
      </c>
      <c r="D91" s="104" t="str">
        <f>Products!$D$504</f>
        <v>MDF</v>
      </c>
      <c r="E91" s="104" t="str">
        <f>Products!$D$504</f>
        <v>MDF</v>
      </c>
      <c r="F91" s="146"/>
      <c r="G91" s="159"/>
      <c r="I91" s="162"/>
      <c r="J91" s="163" t="str">
        <f>Products!B520</f>
        <v>вентиляційні віддушини (1 ряд)</v>
      </c>
      <c r="K91" s="139">
        <f>Products!E520</f>
        <v>290</v>
      </c>
    </row>
    <row r="92" spans="1:11" x14ac:dyDescent="0.25">
      <c r="A92" s="29"/>
      <c r="B92" s="365"/>
      <c r="C92" s="119" t="str">
        <f>Products!$C$505</f>
        <v>скління:</v>
      </c>
      <c r="D92" s="98" t="str">
        <f>Products!$D$505</f>
        <v>Сатин</v>
      </c>
      <c r="E92" s="98" t="str">
        <f>Products!$D$505</f>
        <v>Сатин</v>
      </c>
      <c r="F92" s="146"/>
      <c r="G92" s="159"/>
      <c r="I92" s="162"/>
      <c r="J92" s="163" t="str">
        <f>Products!B521</f>
        <v>вентиляційний підріз</v>
      </c>
      <c r="K92" s="139">
        <f>Products!E521</f>
        <v>195</v>
      </c>
    </row>
    <row r="93" spans="1:11" x14ac:dyDescent="0.25">
      <c r="A93" s="29"/>
      <c r="B93" s="13" t="str">
        <f>Products!B506</f>
        <v>Bergamo 1</v>
      </c>
      <c r="C93" s="122"/>
      <c r="D93" s="138">
        <f>Products!E506</f>
        <v>5040</v>
      </c>
      <c r="E93" s="138">
        <f>Products!G506</f>
        <v>5800.0000000000009</v>
      </c>
      <c r="F93" s="146"/>
      <c r="I93" s="162"/>
      <c r="J93" s="163" t="str">
        <f>Products!B522</f>
        <v>ручка-замок (для дверей купе)</v>
      </c>
      <c r="K93" s="139">
        <f>Products!E522</f>
        <v>640</v>
      </c>
    </row>
    <row r="94" spans="1:11" x14ac:dyDescent="0.25">
      <c r="A94" s="29"/>
      <c r="B94" s="87" t="str">
        <f>Products!B507</f>
        <v>Bergamo 2</v>
      </c>
      <c r="C94" s="132"/>
      <c r="D94" s="143">
        <f>Products!E507</f>
        <v>5040</v>
      </c>
      <c r="E94" s="143">
        <f>Products!G507</f>
        <v>5800.0000000000009</v>
      </c>
      <c r="F94" s="146"/>
      <c r="I94" s="162"/>
      <c r="J94" s="163" t="str">
        <f>Products!B523</f>
        <v>накладка на завіси (1 к-т)</v>
      </c>
      <c r="K94" s="139">
        <f>Products!E523</f>
        <v>90</v>
      </c>
    </row>
    <row r="95" spans="1:11" x14ac:dyDescent="0.25">
      <c r="A95" s="29"/>
      <c r="B95" s="87" t="str">
        <f>Products!B508</f>
        <v>Bergamo 3</v>
      </c>
      <c r="C95" s="132"/>
      <c r="D95" s="143">
        <f>Products!E508</f>
        <v>5040</v>
      </c>
      <c r="E95" s="143">
        <f>Products!G508</f>
        <v>5800.0000000000009</v>
      </c>
      <c r="F95" s="146"/>
      <c r="I95" s="162"/>
      <c r="J95" s="163" t="str">
        <f>Products!B524</f>
        <v>дверна ручка</v>
      </c>
      <c r="K95" s="210" t="str">
        <f>Products!E524</f>
        <v>див.Таблицю Ручки</v>
      </c>
    </row>
    <row r="96" spans="1:11" x14ac:dyDescent="0.25">
      <c r="A96" s="29"/>
      <c r="B96" s="87" t="str">
        <f>Products!B509</f>
        <v>Bergamo 4</v>
      </c>
      <c r="C96" s="132"/>
      <c r="D96" s="143">
        <f>Products!E509</f>
        <v>5040</v>
      </c>
      <c r="E96" s="143">
        <f>Products!G509</f>
        <v>5800.0000000000009</v>
      </c>
      <c r="F96" s="146"/>
    </row>
    <row r="97" spans="1:11" x14ac:dyDescent="0.25">
      <c r="A97" s="29"/>
      <c r="B97" s="87" t="str">
        <f>Products!B510</f>
        <v>Bergamo 5</v>
      </c>
      <c r="C97" s="132"/>
      <c r="D97" s="143">
        <f>Products!E510</f>
        <v>5040</v>
      </c>
      <c r="E97" s="143">
        <f>Products!G510</f>
        <v>5800.0000000000009</v>
      </c>
      <c r="F97" s="146"/>
    </row>
    <row r="98" spans="1:11" x14ac:dyDescent="0.25">
      <c r="A98" s="29"/>
      <c r="B98" s="87" t="str">
        <f>Products!B511</f>
        <v>Bergamo 6</v>
      </c>
      <c r="C98" s="132"/>
      <c r="D98" s="143">
        <f>Products!E511</f>
        <v>5040</v>
      </c>
      <c r="E98" s="143">
        <f>Products!G511</f>
        <v>5800.0000000000009</v>
      </c>
      <c r="F98" s="146"/>
    </row>
    <row r="99" spans="1:11" x14ac:dyDescent="0.25">
      <c r="A99" s="29"/>
      <c r="B99" s="87" t="str">
        <f>Products!B512</f>
        <v>Bergamo 1А</v>
      </c>
      <c r="C99" s="132"/>
      <c r="D99" s="143">
        <f>Products!E512</f>
        <v>5040</v>
      </c>
      <c r="E99" s="143">
        <f>Products!G512</f>
        <v>5800.0000000000009</v>
      </c>
      <c r="F99" s="146"/>
    </row>
    <row r="100" spans="1:11" x14ac:dyDescent="0.25">
      <c r="A100" s="29"/>
      <c r="B100" s="87" t="str">
        <f>Products!B513</f>
        <v>Bergamo 2А</v>
      </c>
      <c r="C100" s="132"/>
      <c r="D100" s="143">
        <f>Products!E513</f>
        <v>5040</v>
      </c>
      <c r="E100" s="143">
        <f>Products!G513</f>
        <v>5800.0000000000009</v>
      </c>
      <c r="F100" s="146"/>
    </row>
    <row r="101" spans="1:11" x14ac:dyDescent="0.25">
      <c r="A101" s="29"/>
      <c r="B101" s="87" t="str">
        <f>Products!B514</f>
        <v>Bergamo 3А</v>
      </c>
      <c r="C101" s="132"/>
      <c r="D101" s="143">
        <f>Products!E514</f>
        <v>5040</v>
      </c>
      <c r="E101" s="143">
        <f>Products!G514</f>
        <v>5800.0000000000009</v>
      </c>
      <c r="F101" s="146"/>
    </row>
    <row r="102" spans="1:11" x14ac:dyDescent="0.25">
      <c r="A102" s="29"/>
      <c r="B102" s="206" t="str">
        <f>Products!B515</f>
        <v>Bergamo 4А</v>
      </c>
      <c r="C102" s="207"/>
      <c r="D102" s="208">
        <f>Products!E515</f>
        <v>5040</v>
      </c>
      <c r="E102" s="208">
        <f>Products!G515</f>
        <v>5800.0000000000009</v>
      </c>
      <c r="F102" s="146"/>
    </row>
    <row r="103" spans="1:11" x14ac:dyDescent="0.25">
      <c r="A103" s="29"/>
      <c r="B103" s="274"/>
      <c r="C103" s="275"/>
      <c r="D103" s="146"/>
      <c r="E103" s="146"/>
      <c r="F103" s="146"/>
      <c r="G103" s="146"/>
    </row>
    <row r="104" spans="1:11" x14ac:dyDescent="0.25">
      <c r="A104" s="29"/>
      <c r="B104" s="372" t="str">
        <f>Products!B575</f>
        <v>Полотна збірні: ECO-GRANDE</v>
      </c>
      <c r="C104" s="373"/>
      <c r="D104" s="373"/>
      <c r="E104" s="373"/>
      <c r="F104" s="278"/>
      <c r="G104" s="130"/>
      <c r="H104" s="130"/>
      <c r="I104" s="130"/>
      <c r="J104" s="125"/>
      <c r="K104" s="126"/>
    </row>
    <row r="105" spans="1:11" x14ac:dyDescent="0.25">
      <c r="A105" s="29"/>
      <c r="B105" s="363" t="str">
        <f>Products!$B$577</f>
        <v>модель</v>
      </c>
      <c r="C105" s="117" t="str">
        <f>Products!$C$577</f>
        <v>покриття:</v>
      </c>
      <c r="D105" s="99" t="str">
        <f>Products!$D$577</f>
        <v>ECO-CELL</v>
      </c>
      <c r="E105" s="99" t="str">
        <f>Products!F577</f>
        <v>ECO-RESIST</v>
      </c>
      <c r="F105" s="146"/>
      <c r="G105" s="159"/>
      <c r="I105" s="160"/>
      <c r="J105" s="161" t="str">
        <f>Products!B593</f>
        <v>полотно розміром 100</v>
      </c>
      <c r="K105" s="137">
        <f>Products!E593</f>
        <v>850</v>
      </c>
    </row>
    <row r="106" spans="1:11" x14ac:dyDescent="0.25">
      <c r="A106" s="29"/>
      <c r="B106" s="364"/>
      <c r="C106" s="118" t="str">
        <f>Products!$C$578</f>
        <v>заповнення:</v>
      </c>
      <c r="D106" s="104" t="str">
        <f>Products!$D$578</f>
        <v>MDF</v>
      </c>
      <c r="E106" s="104" t="str">
        <f>Products!$D$578</f>
        <v>MDF</v>
      </c>
      <c r="F106" s="146"/>
      <c r="G106" s="159"/>
      <c r="I106" s="162"/>
      <c r="J106" s="163" t="str">
        <f>Products!B594</f>
        <v>вентиляційні віддушини (1 ряд)</v>
      </c>
      <c r="K106" s="139">
        <f>Products!E594</f>
        <v>290</v>
      </c>
    </row>
    <row r="107" spans="1:11" x14ac:dyDescent="0.25">
      <c r="A107" s="29"/>
      <c r="B107" s="365"/>
      <c r="C107" s="119" t="str">
        <f>Products!$C$579</f>
        <v>скління:</v>
      </c>
      <c r="D107" s="98" t="str">
        <f>Products!$D$579</f>
        <v>Сатин</v>
      </c>
      <c r="E107" s="98" t="str">
        <f>Products!$D$579</f>
        <v>Сатин</v>
      </c>
      <c r="F107" s="146"/>
      <c r="G107" s="159"/>
      <c r="I107" s="162"/>
      <c r="J107" s="163" t="str">
        <f>Products!B595</f>
        <v>вентиляційний підріз</v>
      </c>
      <c r="K107" s="139">
        <f>Products!E595</f>
        <v>195</v>
      </c>
    </row>
    <row r="108" spans="1:11" x14ac:dyDescent="0.25">
      <c r="A108" s="29"/>
      <c r="B108" s="13" t="str">
        <f>Products!B580</f>
        <v>Grande 1</v>
      </c>
      <c r="C108" s="122"/>
      <c r="D108" s="138">
        <f>Products!E580</f>
        <v>5270</v>
      </c>
      <c r="E108" s="138">
        <f>Products!G580</f>
        <v>6110</v>
      </c>
      <c r="F108" s="146"/>
      <c r="I108" s="162"/>
      <c r="J108" s="163" t="str">
        <f>Products!B596</f>
        <v>скло lacobel чорне</v>
      </c>
      <c r="K108" s="139">
        <f>Products!E596</f>
        <v>520</v>
      </c>
    </row>
    <row r="109" spans="1:11" x14ac:dyDescent="0.25">
      <c r="A109" s="29"/>
      <c r="B109" s="87" t="str">
        <f>Products!B581</f>
        <v>Grande 2</v>
      </c>
      <c r="C109" s="132"/>
      <c r="D109" s="143">
        <f>Products!E581</f>
        <v>5270</v>
      </c>
      <c r="E109" s="143">
        <f>Products!G581</f>
        <v>6110</v>
      </c>
      <c r="F109" s="146"/>
      <c r="I109" s="162"/>
      <c r="J109" s="163" t="str">
        <f>Products!B597</f>
        <v>ручка-замок (для дверей купе)</v>
      </c>
      <c r="K109" s="139">
        <f>Products!E597</f>
        <v>640</v>
      </c>
    </row>
    <row r="110" spans="1:11" x14ac:dyDescent="0.25">
      <c r="A110" s="29"/>
      <c r="B110" s="87" t="str">
        <f>Products!B582</f>
        <v>Grande 3</v>
      </c>
      <c r="C110" s="132"/>
      <c r="D110" s="143">
        <f>Products!E582</f>
        <v>5270</v>
      </c>
      <c r="E110" s="143">
        <f>Products!G582</f>
        <v>6110</v>
      </c>
      <c r="F110" s="146"/>
      <c r="I110" s="162"/>
      <c r="J110" s="163" t="str">
        <f>Products!B598</f>
        <v>накладка на завіси (1 к-т)</v>
      </c>
      <c r="K110" s="139">
        <f>Products!E598</f>
        <v>90</v>
      </c>
    </row>
    <row r="111" spans="1:11" x14ac:dyDescent="0.25">
      <c r="A111" s="29"/>
      <c r="B111" s="87" t="str">
        <f>Products!B583</f>
        <v>Grande 4</v>
      </c>
      <c r="C111" s="132"/>
      <c r="D111" s="143">
        <f>Products!E583</f>
        <v>5270</v>
      </c>
      <c r="E111" s="143">
        <f>Products!G583</f>
        <v>6110</v>
      </c>
      <c r="F111" s="146"/>
      <c r="I111" s="162"/>
      <c r="J111" s="163" t="str">
        <f>Products!B599</f>
        <v>дверна ручка</v>
      </c>
      <c r="K111" s="210" t="str">
        <f>Products!E599</f>
        <v>див.Таблицю Ручки</v>
      </c>
    </row>
    <row r="112" spans="1:11" x14ac:dyDescent="0.25">
      <c r="A112" s="29"/>
      <c r="B112" s="87" t="str">
        <f>Products!B584</f>
        <v>Grande 5</v>
      </c>
      <c r="C112" s="132"/>
      <c r="D112" s="143">
        <f>Products!E584</f>
        <v>5270</v>
      </c>
      <c r="E112" s="143">
        <f>Products!G584</f>
        <v>6110</v>
      </c>
      <c r="F112" s="146"/>
    </row>
    <row r="113" spans="1:11" x14ac:dyDescent="0.25">
      <c r="A113" s="29"/>
      <c r="B113" s="87" t="str">
        <f>Products!B585</f>
        <v>Grande 6</v>
      </c>
      <c r="C113" s="132"/>
      <c r="D113" s="143">
        <f>Products!E585</f>
        <v>5270</v>
      </c>
      <c r="E113" s="143">
        <f>Products!G585</f>
        <v>6110</v>
      </c>
      <c r="F113" s="146"/>
    </row>
    <row r="114" spans="1:11" x14ac:dyDescent="0.25">
      <c r="A114" s="29"/>
      <c r="B114" s="87" t="str">
        <f>Products!B586</f>
        <v>Grande 1А</v>
      </c>
      <c r="C114" s="132"/>
      <c r="D114" s="143">
        <f>Products!E586</f>
        <v>5270</v>
      </c>
      <c r="E114" s="143">
        <f>Products!G586</f>
        <v>6110</v>
      </c>
      <c r="F114" s="146"/>
    </row>
    <row r="115" spans="1:11" x14ac:dyDescent="0.25">
      <c r="A115" s="29"/>
      <c r="B115" s="87" t="str">
        <f>Products!B587</f>
        <v>Grande 2А</v>
      </c>
      <c r="C115" s="132"/>
      <c r="D115" s="143">
        <f>Products!E587</f>
        <v>5270</v>
      </c>
      <c r="E115" s="143">
        <f>Products!G587</f>
        <v>6110</v>
      </c>
      <c r="F115" s="146"/>
    </row>
    <row r="116" spans="1:11" x14ac:dyDescent="0.25">
      <c r="A116" s="29"/>
      <c r="B116" s="87" t="str">
        <f>Products!B588</f>
        <v>Grande 3А</v>
      </c>
      <c r="C116" s="132"/>
      <c r="D116" s="143">
        <f>Products!E588</f>
        <v>5270</v>
      </c>
      <c r="E116" s="143">
        <f>Products!G588</f>
        <v>6110</v>
      </c>
      <c r="F116" s="146"/>
    </row>
    <row r="117" spans="1:11" x14ac:dyDescent="0.25">
      <c r="A117" s="29"/>
      <c r="B117" s="206" t="str">
        <f>Products!$B$589</f>
        <v>Grande 4А</v>
      </c>
      <c r="C117" s="207"/>
      <c r="D117" s="208">
        <f>Products!$E$589</f>
        <v>5270</v>
      </c>
      <c r="E117" s="208">
        <f>Products!G589</f>
        <v>6110</v>
      </c>
      <c r="F117" s="146"/>
    </row>
    <row r="118" spans="1:11" x14ac:dyDescent="0.25">
      <c r="A118" s="29"/>
      <c r="B118" s="274"/>
      <c r="C118" s="275"/>
      <c r="D118" s="146"/>
      <c r="E118" s="146"/>
      <c r="F118" s="146"/>
      <c r="G118" s="146"/>
    </row>
    <row r="119" spans="1:11" x14ac:dyDescent="0.25">
      <c r="A119" s="29"/>
      <c r="B119" s="372" t="str">
        <f>Products!B650</f>
        <v>Полотна збірні: ECO-PIANO</v>
      </c>
      <c r="C119" s="373"/>
      <c r="D119" s="373"/>
      <c r="E119" s="373"/>
      <c r="F119" s="278"/>
      <c r="G119" s="130"/>
      <c r="H119" s="130"/>
      <c r="I119" s="130"/>
      <c r="J119" s="125"/>
      <c r="K119" s="126"/>
    </row>
    <row r="120" spans="1:11" x14ac:dyDescent="0.25">
      <c r="A120" s="29"/>
      <c r="B120" s="363" t="str">
        <f>Products!$B$652</f>
        <v>модель</v>
      </c>
      <c r="C120" s="117" t="str">
        <f>Products!$C$652</f>
        <v>покриття:</v>
      </c>
      <c r="D120" s="99" t="str">
        <f>Products!$D$652</f>
        <v>ECO-CELL</v>
      </c>
      <c r="E120" s="99" t="str">
        <f>Products!F652</f>
        <v>ECO-RESIST</v>
      </c>
      <c r="F120" s="146"/>
      <c r="G120" s="159"/>
      <c r="I120" s="160"/>
      <c r="J120" s="161" t="str">
        <f>Products!B661</f>
        <v>полотно розміром 100</v>
      </c>
      <c r="K120" s="137">
        <f>Products!E661</f>
        <v>850</v>
      </c>
    </row>
    <row r="121" spans="1:11" x14ac:dyDescent="0.25">
      <c r="A121" s="29"/>
      <c r="B121" s="364"/>
      <c r="C121" s="118" t="str">
        <f>Products!$C$653</f>
        <v>заповнення:</v>
      </c>
      <c r="D121" s="104" t="str">
        <f>Products!$D$653</f>
        <v>MDF</v>
      </c>
      <c r="E121" s="104" t="str">
        <f>Products!$D$653</f>
        <v>MDF</v>
      </c>
      <c r="F121" s="146"/>
      <c r="G121" s="159"/>
      <c r="I121" s="162"/>
      <c r="J121" s="163" t="str">
        <f>Products!B662</f>
        <v>вентиляційні віддушини (1 ряд)</v>
      </c>
      <c r="K121" s="139">
        <f>Products!E662</f>
        <v>290</v>
      </c>
    </row>
    <row r="122" spans="1:11" x14ac:dyDescent="0.25">
      <c r="A122" s="29"/>
      <c r="B122" s="365"/>
      <c r="C122" s="119" t="str">
        <f>Products!$C$654</f>
        <v>скління:</v>
      </c>
      <c r="D122" s="98" t="str">
        <f>Products!$D$654</f>
        <v>Сатин</v>
      </c>
      <c r="E122" s="98" t="str">
        <f>Products!$D$654</f>
        <v>Сатин</v>
      </c>
      <c r="F122" s="146"/>
      <c r="G122" s="159"/>
      <c r="I122" s="162"/>
      <c r="J122" s="163" t="str">
        <f>Products!B663</f>
        <v>вентиляційний підріз</v>
      </c>
      <c r="K122" s="139">
        <f>Products!E663</f>
        <v>195</v>
      </c>
    </row>
    <row r="123" spans="1:11" x14ac:dyDescent="0.25">
      <c r="A123" s="29"/>
      <c r="B123" s="13" t="str">
        <f>Products!B655</f>
        <v>Piano 1</v>
      </c>
      <c r="C123" s="122"/>
      <c r="D123" s="138">
        <f>Products!E655</f>
        <v>5440.0000000000009</v>
      </c>
      <c r="E123" s="138">
        <f>Products!G655</f>
        <v>6290</v>
      </c>
      <c r="F123" s="146"/>
      <c r="I123" s="162"/>
      <c r="J123" s="163" t="str">
        <f>Products!B664</f>
        <v>скло lacobel чорне</v>
      </c>
      <c r="K123" s="139">
        <f>Products!E664</f>
        <v>520</v>
      </c>
    </row>
    <row r="124" spans="1:11" x14ac:dyDescent="0.25">
      <c r="A124" s="29"/>
      <c r="B124" s="87" t="str">
        <f>Products!B656</f>
        <v>Piano 2</v>
      </c>
      <c r="C124" s="132"/>
      <c r="D124" s="143">
        <f>Products!E656</f>
        <v>5440.0000000000009</v>
      </c>
      <c r="E124" s="143">
        <f>Products!G656</f>
        <v>6290</v>
      </c>
      <c r="F124" s="146"/>
      <c r="I124" s="162"/>
      <c r="J124" s="163" t="str">
        <f>Products!B665</f>
        <v>ручка-замок (для дверей купе)</v>
      </c>
      <c r="K124" s="139">
        <f>Products!E665</f>
        <v>640</v>
      </c>
    </row>
    <row r="125" spans="1:11" x14ac:dyDescent="0.25">
      <c r="A125" s="29"/>
      <c r="B125" s="206" t="str">
        <f>Products!$B$657</f>
        <v>Piano 3</v>
      </c>
      <c r="C125" s="207"/>
      <c r="D125" s="208">
        <f>Products!E657</f>
        <v>5440.0000000000009</v>
      </c>
      <c r="E125" s="208">
        <f>Products!G657</f>
        <v>6290</v>
      </c>
      <c r="F125" s="146"/>
      <c r="I125" s="162"/>
      <c r="J125" s="163" t="str">
        <f>Products!B598</f>
        <v>накладка на завіси (1 к-т)</v>
      </c>
      <c r="K125" s="139">
        <f>Products!E666</f>
        <v>90</v>
      </c>
    </row>
    <row r="126" spans="1:11" x14ac:dyDescent="0.25">
      <c r="A126" s="29"/>
      <c r="B126" s="274"/>
      <c r="C126" s="275"/>
      <c r="D126" s="146"/>
      <c r="E126" s="146"/>
      <c r="F126" s="146"/>
      <c r="G126" s="146"/>
      <c r="I126" s="162"/>
      <c r="J126" s="163" t="str">
        <f>Products!B599</f>
        <v>дверна ручка</v>
      </c>
      <c r="K126" s="210" t="str">
        <f>Products!E667</f>
        <v>див.Таблицю Ручки</v>
      </c>
    </row>
    <row r="127" spans="1:11" x14ac:dyDescent="0.25">
      <c r="A127" s="29"/>
      <c r="B127" s="372" t="str">
        <f>Products!B765</f>
        <v>Полотна збірні: ECO-VIENTO</v>
      </c>
      <c r="C127" s="373"/>
      <c r="D127" s="373"/>
      <c r="E127" s="373"/>
      <c r="F127" s="278"/>
      <c r="G127" s="130"/>
      <c r="H127" s="130"/>
      <c r="I127" s="130"/>
      <c r="J127" s="125"/>
      <c r="K127" s="126"/>
    </row>
    <row r="128" spans="1:11" x14ac:dyDescent="0.25">
      <c r="A128" s="29"/>
      <c r="B128" s="363" t="str">
        <f>Products!B767</f>
        <v>модель</v>
      </c>
      <c r="C128" s="117" t="str">
        <f>Products!C767</f>
        <v>покриття:</v>
      </c>
      <c r="D128" s="99" t="str">
        <f>Products!D767</f>
        <v>ECO-CELL</v>
      </c>
      <c r="E128" s="99" t="str">
        <f>Products!F767</f>
        <v>ECO-RESIST</v>
      </c>
      <c r="F128" s="146"/>
      <c r="G128" s="159"/>
      <c r="I128" s="160"/>
      <c r="J128" s="161" t="str">
        <f>Products!B780</f>
        <v>полотно розміром 100</v>
      </c>
      <c r="K128" s="137">
        <f>Products!E780</f>
        <v>850</v>
      </c>
    </row>
    <row r="129" spans="1:11" x14ac:dyDescent="0.25">
      <c r="A129" s="29"/>
      <c r="B129" s="364"/>
      <c r="C129" s="118" t="str">
        <f>Products!C768</f>
        <v>заповнення:</v>
      </c>
      <c r="D129" s="104" t="str">
        <f>Products!D768</f>
        <v>MDF</v>
      </c>
      <c r="E129" s="104" t="str">
        <f>Products!F768</f>
        <v>MDF</v>
      </c>
      <c r="F129" s="146"/>
      <c r="G129" s="159"/>
      <c r="I129" s="162"/>
      <c r="J129" s="163" t="str">
        <f>Products!B781</f>
        <v>вентиляційні віддушини (1 ряд)</v>
      </c>
      <c r="K129" s="139">
        <f>Products!E781</f>
        <v>290</v>
      </c>
    </row>
    <row r="130" spans="1:11" x14ac:dyDescent="0.25">
      <c r="A130" s="29"/>
      <c r="B130" s="365"/>
      <c r="C130" s="119" t="str">
        <f>Products!C769</f>
        <v>скління:</v>
      </c>
      <c r="D130" s="98" t="str">
        <f>Products!D769</f>
        <v>Сатин</v>
      </c>
      <c r="E130" s="98" t="str">
        <f>Products!F769</f>
        <v>Сатин</v>
      </c>
      <c r="F130" s="146"/>
      <c r="G130" s="159"/>
      <c r="I130" s="162"/>
      <c r="J130" s="163" t="str">
        <f>Products!B782</f>
        <v>вентиляційний підріз</v>
      </c>
      <c r="K130" s="139">
        <f>Products!E782</f>
        <v>195</v>
      </c>
    </row>
    <row r="131" spans="1:11" x14ac:dyDescent="0.25">
      <c r="A131" s="29"/>
      <c r="B131" s="13" t="str">
        <f>Products!B770</f>
        <v>Viento 1</v>
      </c>
      <c r="C131" s="122"/>
      <c r="D131" s="138">
        <f>Products!E770</f>
        <v>5100</v>
      </c>
      <c r="E131" s="138">
        <f>Products!G770</f>
        <v>5940</v>
      </c>
      <c r="F131" s="146"/>
      <c r="I131" s="162"/>
      <c r="J131" s="163" t="str">
        <f>Products!B783</f>
        <v>ручка-замок (для дверей купе)</v>
      </c>
      <c r="K131" s="139">
        <f>Products!E783</f>
        <v>640</v>
      </c>
    </row>
    <row r="132" spans="1:11" x14ac:dyDescent="0.25">
      <c r="A132" s="29"/>
      <c r="B132" s="87" t="str">
        <f>Products!B771</f>
        <v>Viento 2</v>
      </c>
      <c r="C132" s="132"/>
      <c r="D132" s="143">
        <f>Products!E771</f>
        <v>5100</v>
      </c>
      <c r="E132" s="143">
        <f>Products!G771</f>
        <v>5940</v>
      </c>
      <c r="F132" s="146"/>
      <c r="I132" s="162"/>
      <c r="J132" s="163" t="str">
        <f>Products!B784</f>
        <v>накладка на завіси (1 к-т)</v>
      </c>
      <c r="K132" s="139">
        <f>Products!E784</f>
        <v>90</v>
      </c>
    </row>
    <row r="133" spans="1:11" x14ac:dyDescent="0.25">
      <c r="A133" s="29"/>
      <c r="B133" s="87" t="str">
        <f>Products!B772</f>
        <v>Viento 3</v>
      </c>
      <c r="C133" s="132"/>
      <c r="D133" s="143">
        <f>Products!E772</f>
        <v>5100</v>
      </c>
      <c r="E133" s="143">
        <f>Products!G772</f>
        <v>5940</v>
      </c>
      <c r="F133" s="146"/>
      <c r="I133" s="162"/>
      <c r="J133" s="163" t="str">
        <f>Products!B785</f>
        <v>дверна ручка</v>
      </c>
      <c r="K133" s="210" t="str">
        <f>Products!E785</f>
        <v>див.Таблицю Ручки</v>
      </c>
    </row>
    <row r="134" spans="1:11" x14ac:dyDescent="0.25">
      <c r="A134" s="29"/>
      <c r="B134" s="87" t="str">
        <f>Products!B773</f>
        <v>Viento 4</v>
      </c>
      <c r="C134" s="132"/>
      <c r="D134" s="143">
        <f>Products!E773</f>
        <v>5100</v>
      </c>
      <c r="E134" s="143">
        <f>Products!G773</f>
        <v>5940</v>
      </c>
      <c r="F134" s="146"/>
    </row>
    <row r="135" spans="1:11" x14ac:dyDescent="0.25">
      <c r="A135" s="29"/>
      <c r="B135" s="87" t="str">
        <f>Products!B774</f>
        <v>Viento 5</v>
      </c>
      <c r="C135" s="132"/>
      <c r="D135" s="143">
        <f>Products!E774</f>
        <v>5100</v>
      </c>
      <c r="E135" s="143">
        <f>Products!G774</f>
        <v>5940</v>
      </c>
      <c r="F135" s="146"/>
    </row>
    <row r="136" spans="1:11" x14ac:dyDescent="0.25">
      <c r="A136" s="29"/>
      <c r="B136" s="87" t="str">
        <f>Products!B775</f>
        <v>Viento 1А</v>
      </c>
      <c r="C136" s="132"/>
      <c r="D136" s="143">
        <f>Products!E775</f>
        <v>5100</v>
      </c>
      <c r="E136" s="143">
        <f>Products!G775</f>
        <v>5940</v>
      </c>
      <c r="F136" s="146"/>
    </row>
    <row r="137" spans="1:11" x14ac:dyDescent="0.25">
      <c r="A137" s="29"/>
      <c r="B137" s="206" t="str">
        <f>Products!B776</f>
        <v>Viento 2А</v>
      </c>
      <c r="C137" s="207"/>
      <c r="D137" s="208">
        <f>Products!E776</f>
        <v>5100</v>
      </c>
      <c r="E137" s="208">
        <f>Products!G776</f>
        <v>5940</v>
      </c>
      <c r="F137" s="146"/>
    </row>
    <row r="138" spans="1:11" x14ac:dyDescent="0.25">
      <c r="A138" s="29"/>
      <c r="B138" s="274"/>
      <c r="C138" s="275"/>
      <c r="D138" s="146"/>
      <c r="E138" s="146"/>
      <c r="F138" s="146"/>
      <c r="G138" s="146"/>
    </row>
    <row r="139" spans="1:11" s="29" customFormat="1" ht="12.75" customHeight="1" x14ac:dyDescent="0.25">
      <c r="B139" s="368" t="str">
        <f>TITLE!$C$22</f>
        <v>Розсувна система ECO-SLIDE</v>
      </c>
      <c r="C139" s="369"/>
      <c r="D139" s="369"/>
      <c r="E139" s="369"/>
      <c r="F139" s="130"/>
      <c r="G139" s="130"/>
      <c r="H139" s="130"/>
      <c r="I139" s="125"/>
      <c r="J139" s="125"/>
      <c r="K139" s="126"/>
    </row>
    <row r="140" spans="1:11" ht="12.75" customHeight="1" x14ac:dyDescent="0.25">
      <c r="A140" s="29"/>
      <c r="B140" s="366" t="str">
        <f>Products!B838</f>
        <v>(без полотна)</v>
      </c>
      <c r="C140" s="117" t="str">
        <f>Products!C838</f>
        <v>покриття:</v>
      </c>
      <c r="D140" s="99" t="str">
        <f>Products!D838</f>
        <v>ECO-CELL</v>
      </c>
      <c r="E140" s="99" t="str">
        <f>Products!F838</f>
        <v>ECO-RESIST</v>
      </c>
      <c r="F140" s="146"/>
      <c r="G140" s="36"/>
      <c r="I140" s="169"/>
      <c r="J140" s="163" t="str">
        <f>Products!B844</f>
        <v>Відповідна планка замка</v>
      </c>
      <c r="K140" s="144">
        <f>Products!E844</f>
        <v>125</v>
      </c>
    </row>
    <row r="141" spans="1:11" ht="12.75" customHeight="1" x14ac:dyDescent="0.25">
      <c r="A141" s="29"/>
      <c r="B141" s="367"/>
      <c r="C141" s="119" t="str">
        <f>Products!C839</f>
        <v>виконання:</v>
      </c>
      <c r="D141" s="98" t="str">
        <f>Products!D839</f>
        <v>одностулкове</v>
      </c>
      <c r="E141" s="98" t="str">
        <f>Products!F839</f>
        <v>одностулкове</v>
      </c>
      <c r="F141" s="146"/>
      <c r="G141" s="36"/>
      <c r="H141" s="35"/>
    </row>
    <row r="142" spans="1:11" x14ac:dyDescent="0.25">
      <c r="A142" s="29"/>
      <c r="B142" s="38" t="str">
        <f>Products!B840</f>
        <v>Розсувна система</v>
      </c>
      <c r="C142" s="39"/>
      <c r="D142" s="145">
        <f>Products!E840</f>
        <v>4350</v>
      </c>
      <c r="E142" s="145">
        <f>Products!G840</f>
        <v>4635</v>
      </c>
      <c r="F142" s="146"/>
      <c r="G142" s="27"/>
      <c r="H142" s="35"/>
    </row>
    <row r="143" spans="1:11" x14ac:dyDescent="0.25">
      <c r="C143" s="31"/>
      <c r="D143" s="31"/>
      <c r="E143" s="31"/>
    </row>
    <row r="144" spans="1:11" s="29" customFormat="1" ht="12.75" customHeight="1" x14ac:dyDescent="0.25">
      <c r="B144" s="368" t="str">
        <f>TITLE!$C$25</f>
        <v>Дверна коробка CLASSIC</v>
      </c>
      <c r="C144" s="369"/>
      <c r="D144" s="369"/>
      <c r="E144" s="369"/>
      <c r="F144" s="130"/>
      <c r="G144" s="130"/>
      <c r="H144" s="130"/>
      <c r="I144" s="130"/>
      <c r="J144" s="125"/>
      <c r="K144" s="126"/>
    </row>
    <row r="145" spans="1:11" x14ac:dyDescent="0.25">
      <c r="A145" s="29"/>
      <c r="B145" s="364" t="str">
        <f>Products!B897</f>
        <v>модель</v>
      </c>
      <c r="C145" s="117" t="str">
        <f>Products!C897</f>
        <v>покриття:</v>
      </c>
      <c r="D145" s="338" t="str">
        <f>Products!D897</f>
        <v>ECO-CELL</v>
      </c>
      <c r="E145" s="328"/>
      <c r="F145" s="338" t="str">
        <f>Products!H897</f>
        <v>ECO-RESIST</v>
      </c>
      <c r="G145" s="328"/>
      <c r="J145" s="170" t="str">
        <f>Products!B910</f>
        <v>поріг сосновий</v>
      </c>
      <c r="K145" s="144">
        <f>Products!E910</f>
        <v>630</v>
      </c>
    </row>
    <row r="146" spans="1:11" ht="12.75" customHeight="1" x14ac:dyDescent="0.25">
      <c r="A146" s="29"/>
      <c r="B146" s="364"/>
      <c r="C146" s="119" t="str">
        <f>Products!C898</f>
        <v>виконання:</v>
      </c>
      <c r="D146" s="187" t="str">
        <f>Products!D898</f>
        <v>одностулкове</v>
      </c>
      <c r="E146" s="194" t="str">
        <f>Products!F898</f>
        <v>двостулкові</v>
      </c>
      <c r="F146" s="187" t="str">
        <f>Products!H898</f>
        <v>одностулкове</v>
      </c>
      <c r="G146" s="194" t="str">
        <f>Products!J898</f>
        <v>двостулкові</v>
      </c>
    </row>
    <row r="147" spans="1:11" x14ac:dyDescent="0.25">
      <c r="A147" s="29"/>
      <c r="B147" s="38" t="str">
        <f>Products!B899</f>
        <v>Коробка МДФ 80мм</v>
      </c>
      <c r="C147" s="39"/>
      <c r="D147" s="225">
        <f>Products!E899</f>
        <v>2100</v>
      </c>
      <c r="E147" s="226">
        <f>Products!G899</f>
        <v>2940</v>
      </c>
      <c r="F147" s="225">
        <f>Products!I899</f>
        <v>2470</v>
      </c>
      <c r="G147" s="226">
        <f>Products!K899</f>
        <v>3460</v>
      </c>
    </row>
    <row r="148" spans="1:11" s="105" customFormat="1" x14ac:dyDescent="0.25">
      <c r="B148" s="43" t="str">
        <f>Products!B900</f>
        <v>ЛИШТВА</v>
      </c>
      <c r="C148" s="44"/>
      <c r="D148" s="146"/>
      <c r="E148" s="146"/>
      <c r="F148" s="146"/>
      <c r="G148" s="146"/>
      <c r="H148" s="30"/>
      <c r="I148" s="30"/>
    </row>
    <row r="149" spans="1:11" x14ac:dyDescent="0.25">
      <c r="A149" s="29"/>
      <c r="B149" s="38" t="str">
        <f>Products!B901</f>
        <v>Прямокутна (1 к-т) 60 мм</v>
      </c>
      <c r="C149" s="235"/>
      <c r="D149" s="225">
        <f>Products!E901</f>
        <v>590</v>
      </c>
      <c r="E149" s="226">
        <f>Products!G901</f>
        <v>760</v>
      </c>
      <c r="F149" s="225">
        <f>Products!I901</f>
        <v>790</v>
      </c>
      <c r="G149" s="226">
        <f>Products!K901</f>
        <v>1020</v>
      </c>
    </row>
    <row r="150" spans="1:11" s="105" customFormat="1" x14ac:dyDescent="0.25">
      <c r="B150" s="38" t="str">
        <f>Products!B902</f>
        <v>Прямокутна (1 к-т) 80 мм</v>
      </c>
      <c r="C150" s="235"/>
      <c r="D150" s="225">
        <f>Products!E902</f>
        <v>690</v>
      </c>
      <c r="E150" s="226">
        <f>Products!G902</f>
        <v>890.00000000000011</v>
      </c>
      <c r="F150" s="225">
        <f>Products!I902</f>
        <v>980</v>
      </c>
      <c r="G150" s="226">
        <f>Products!K902</f>
        <v>1270.0000000000002</v>
      </c>
      <c r="H150" s="30"/>
      <c r="I150" s="30"/>
    </row>
    <row r="151" spans="1:11" x14ac:dyDescent="0.25">
      <c r="A151" s="29"/>
      <c r="B151" s="43" t="str">
        <f>Products!B903</f>
        <v>ДОБІРНІ ПЛАНКИ</v>
      </c>
      <c r="C151" s="44"/>
      <c r="D151" s="146"/>
      <c r="E151" s="146"/>
      <c r="F151" s="146"/>
      <c r="G151" s="146"/>
    </row>
    <row r="152" spans="1:11" x14ac:dyDescent="0.25">
      <c r="A152" s="29"/>
      <c r="B152" s="13" t="str">
        <f>Products!B904</f>
        <v>Планка (1 к-т) 60 мм</v>
      </c>
      <c r="C152" s="133"/>
      <c r="D152" s="188">
        <f>Products!E904</f>
        <v>590</v>
      </c>
      <c r="E152" s="189">
        <f>Products!G904</f>
        <v>760</v>
      </c>
      <c r="F152" s="188">
        <f>Products!I904</f>
        <v>790</v>
      </c>
      <c r="G152" s="189">
        <f>Products!K904</f>
        <v>1020</v>
      </c>
    </row>
    <row r="153" spans="1:11" x14ac:dyDescent="0.25">
      <c r="A153" s="29"/>
      <c r="B153" s="16" t="str">
        <f>Products!B905</f>
        <v>Планка (1 к-т) 110 мм</v>
      </c>
      <c r="C153" s="136"/>
      <c r="D153" s="190">
        <f>Products!E905</f>
        <v>910</v>
      </c>
      <c r="E153" s="191">
        <f>Products!G905</f>
        <v>1180</v>
      </c>
      <c r="F153" s="190">
        <f>Products!I905</f>
        <v>1200</v>
      </c>
      <c r="G153" s="191">
        <f>Products!K905</f>
        <v>1560</v>
      </c>
    </row>
    <row r="154" spans="1:11" x14ac:dyDescent="0.25">
      <c r="B154" s="21" t="str">
        <f>Products!B906</f>
        <v>Планка (1 к-т) 200 мм</v>
      </c>
      <c r="C154" s="134"/>
      <c r="D154" s="192">
        <f>Products!E906</f>
        <v>1770</v>
      </c>
      <c r="E154" s="193">
        <f>Products!G906</f>
        <v>2300</v>
      </c>
      <c r="F154" s="192">
        <f>Products!I906</f>
        <v>2420</v>
      </c>
      <c r="G154" s="193">
        <f>Products!K906</f>
        <v>3150</v>
      </c>
    </row>
    <row r="155" spans="1:11" s="29" customFormat="1" x14ac:dyDescent="0.25">
      <c r="B155" s="30"/>
      <c r="C155" s="31"/>
      <c r="D155" s="31"/>
      <c r="E155" s="10"/>
      <c r="F155" s="146"/>
      <c r="G155" s="146"/>
    </row>
    <row r="156" spans="1:11" x14ac:dyDescent="0.25">
      <c r="A156" s="29"/>
      <c r="B156" s="368" t="str">
        <f>TITLE!$C$26</f>
        <v>Дверна коробка ECO-FIT</v>
      </c>
      <c r="C156" s="369"/>
      <c r="D156" s="369"/>
      <c r="E156" s="369"/>
      <c r="F156" s="130"/>
      <c r="G156" s="130"/>
      <c r="H156" s="130"/>
      <c r="I156" s="130"/>
      <c r="J156" s="125"/>
      <c r="K156" s="126"/>
    </row>
    <row r="157" spans="1:11" ht="12.75" customHeight="1" x14ac:dyDescent="0.25">
      <c r="A157" s="29"/>
      <c r="B157" s="364" t="str">
        <f>Products!B963</f>
        <v>модель</v>
      </c>
      <c r="C157" s="117" t="str">
        <f>Products!C963</f>
        <v>покриття:</v>
      </c>
      <c r="D157" s="338" t="str">
        <f>Products!D963</f>
        <v>ECO-CELL</v>
      </c>
      <c r="E157" s="328"/>
      <c r="F157" s="338" t="str">
        <f>Products!H963</f>
        <v>ECO-RESIST</v>
      </c>
      <c r="G157" s="328"/>
    </row>
    <row r="158" spans="1:11" x14ac:dyDescent="0.25">
      <c r="A158" s="29"/>
      <c r="B158" s="365"/>
      <c r="C158" s="119" t="str">
        <f>Products!C964</f>
        <v>виконання:</v>
      </c>
      <c r="D158" s="187" t="str">
        <f>Products!D964</f>
        <v>одностулкове</v>
      </c>
      <c r="E158" s="194" t="str">
        <f>Products!F964</f>
        <v>двостулкові</v>
      </c>
      <c r="F158" s="187" t="str">
        <f>Products!H964</f>
        <v>одностулкове</v>
      </c>
      <c r="G158" s="194" t="str">
        <f>Products!J964</f>
        <v>двостулкові</v>
      </c>
    </row>
    <row r="159" spans="1:11" x14ac:dyDescent="0.25">
      <c r="A159" s="29"/>
      <c r="B159" s="13" t="str">
        <f>Products!B965</f>
        <v>A (75 - 95 мм)</v>
      </c>
      <c r="C159" s="135"/>
      <c r="D159" s="188">
        <f>Products!E965</f>
        <v>3430</v>
      </c>
      <c r="E159" s="189">
        <f>Products!G965</f>
        <v>4790</v>
      </c>
      <c r="F159" s="188">
        <f>Products!I965</f>
        <v>4100</v>
      </c>
      <c r="G159" s="189">
        <f>Products!K965</f>
        <v>5740.0000000000009</v>
      </c>
    </row>
    <row r="160" spans="1:11" x14ac:dyDescent="0.25">
      <c r="A160" s="29"/>
      <c r="B160" s="16" t="str">
        <f>Products!B966</f>
        <v>B (95 - 115 мм)</v>
      </c>
      <c r="C160" s="136"/>
      <c r="D160" s="190">
        <f>Products!E966</f>
        <v>3630</v>
      </c>
      <c r="E160" s="191">
        <f>Products!G966</f>
        <v>5080.0000000000009</v>
      </c>
      <c r="F160" s="190">
        <f>Products!I966</f>
        <v>4370</v>
      </c>
      <c r="G160" s="191">
        <f>Products!K966</f>
        <v>6110</v>
      </c>
    </row>
    <row r="161" spans="1:11" x14ac:dyDescent="0.25">
      <c r="A161" s="29"/>
      <c r="B161" s="16" t="str">
        <f>Products!B967</f>
        <v>B+ (100 - 120 мм)</v>
      </c>
      <c r="C161" s="136"/>
      <c r="D161" s="190">
        <f>Products!E967</f>
        <v>3770</v>
      </c>
      <c r="E161" s="191">
        <f>Products!G967</f>
        <v>5280</v>
      </c>
      <c r="F161" s="190">
        <f>Products!I967</f>
        <v>4500</v>
      </c>
      <c r="G161" s="191">
        <f>Products!K967</f>
        <v>6290</v>
      </c>
    </row>
    <row r="162" spans="1:11" x14ac:dyDescent="0.25">
      <c r="A162" s="29"/>
      <c r="B162" s="16" t="str">
        <f>Products!B968</f>
        <v>C (120 - 140 мм)</v>
      </c>
      <c r="C162" s="136"/>
      <c r="D162" s="190">
        <f>Products!E968</f>
        <v>3880</v>
      </c>
      <c r="E162" s="191">
        <f>Products!G968</f>
        <v>5430</v>
      </c>
      <c r="F162" s="190">
        <f>Products!I968</f>
        <v>4600</v>
      </c>
      <c r="G162" s="191">
        <f>Products!K968</f>
        <v>6450</v>
      </c>
    </row>
    <row r="163" spans="1:11" x14ac:dyDescent="0.25">
      <c r="A163" s="29"/>
      <c r="B163" s="16" t="str">
        <f>Products!B969</f>
        <v>D (140 - 160 мм)</v>
      </c>
      <c r="C163" s="136"/>
      <c r="D163" s="190">
        <f>Products!E969</f>
        <v>4080</v>
      </c>
      <c r="E163" s="191">
        <f>Products!G969</f>
        <v>5720</v>
      </c>
      <c r="F163" s="190">
        <f>Products!I969</f>
        <v>4860</v>
      </c>
      <c r="G163" s="191">
        <f>Products!K969</f>
        <v>6810</v>
      </c>
    </row>
    <row r="164" spans="1:11" x14ac:dyDescent="0.25">
      <c r="A164" s="29"/>
      <c r="B164" s="16" t="str">
        <f>Products!B970</f>
        <v>E (160 - 180 мм)</v>
      </c>
      <c r="C164" s="136"/>
      <c r="D164" s="190">
        <f>Products!E970</f>
        <v>4290</v>
      </c>
      <c r="E164" s="191">
        <f>Products!G970</f>
        <v>6000</v>
      </c>
      <c r="F164" s="190">
        <f>Products!I970</f>
        <v>5090</v>
      </c>
      <c r="G164" s="191">
        <f>Products!K970</f>
        <v>7140</v>
      </c>
    </row>
    <row r="165" spans="1:11" x14ac:dyDescent="0.25">
      <c r="A165" s="29"/>
      <c r="B165" s="16" t="str">
        <f>Products!B971</f>
        <v>F (180 - 200 мм)</v>
      </c>
      <c r="C165" s="136"/>
      <c r="D165" s="190">
        <f>Products!E971</f>
        <v>4510</v>
      </c>
      <c r="E165" s="191">
        <f>Products!G971</f>
        <v>6310.0000000000009</v>
      </c>
      <c r="F165" s="190">
        <f>Products!I971</f>
        <v>5360</v>
      </c>
      <c r="G165" s="191">
        <f>Products!K971</f>
        <v>7500</v>
      </c>
    </row>
    <row r="166" spans="1:11" x14ac:dyDescent="0.25">
      <c r="A166" s="29"/>
      <c r="B166" s="16" t="str">
        <f>Products!B972</f>
        <v>G (200 - 220 мм)</v>
      </c>
      <c r="C166" s="136"/>
      <c r="D166" s="190">
        <f>Products!E972</f>
        <v>4720</v>
      </c>
      <c r="E166" s="191">
        <f>Products!G972</f>
        <v>6600</v>
      </c>
      <c r="F166" s="190">
        <f>Products!I972</f>
        <v>5620.0000000000009</v>
      </c>
      <c r="G166" s="191">
        <f>Products!K972</f>
        <v>7870</v>
      </c>
    </row>
    <row r="167" spans="1:11" x14ac:dyDescent="0.25">
      <c r="A167" s="29"/>
      <c r="B167" s="16" t="str">
        <f>Products!B973</f>
        <v>H (220 - 240 мм)</v>
      </c>
      <c r="C167" s="136"/>
      <c r="D167" s="190">
        <f>Products!E973</f>
        <v>4930.0000000000009</v>
      </c>
      <c r="E167" s="191">
        <f>Products!G973</f>
        <v>6899.9999999999991</v>
      </c>
      <c r="F167" s="190">
        <f>Products!I973</f>
        <v>5850</v>
      </c>
      <c r="G167" s="191">
        <f>Products!K973</f>
        <v>8190</v>
      </c>
    </row>
    <row r="168" spans="1:11" ht="13.2" customHeight="1" x14ac:dyDescent="0.25">
      <c r="A168" s="29"/>
      <c r="B168" s="21" t="str">
        <f>Products!B974</f>
        <v>I (240 - 260 мм)</v>
      </c>
      <c r="C168" s="134"/>
      <c r="D168" s="192">
        <f>Products!E974</f>
        <v>5160</v>
      </c>
      <c r="E168" s="193">
        <f>Products!G974</f>
        <v>7230</v>
      </c>
      <c r="F168" s="192">
        <f>Products!I974</f>
        <v>6090</v>
      </c>
      <c r="G168" s="193">
        <f>Products!K974</f>
        <v>8540</v>
      </c>
    </row>
    <row r="169" spans="1:11" ht="13.2" customHeight="1" x14ac:dyDescent="0.25">
      <c r="A169" s="29"/>
      <c r="B169" s="274"/>
      <c r="C169" s="289"/>
      <c r="D169" s="146"/>
      <c r="E169" s="146"/>
      <c r="F169" s="146"/>
      <c r="G169" s="146"/>
    </row>
    <row r="170" spans="1:11" x14ac:dyDescent="0.25">
      <c r="A170" s="29"/>
      <c r="B170" s="368" t="str">
        <f>Products!B976</f>
        <v>Дверна коробка ECO-FIT Plus</v>
      </c>
      <c r="C170" s="369"/>
      <c r="D170" s="370"/>
      <c r="E170" s="370"/>
      <c r="F170" s="130"/>
      <c r="G170" s="130"/>
      <c r="H170" s="130"/>
      <c r="I170" s="130"/>
      <c r="J170" s="130"/>
      <c r="K170" s="130"/>
    </row>
    <row r="171" spans="1:11" x14ac:dyDescent="0.25">
      <c r="A171" s="29"/>
      <c r="B171" s="363" t="str">
        <f>Products!B978</f>
        <v>модель</v>
      </c>
      <c r="C171" s="297" t="str">
        <f>Products!C978</f>
        <v>покриття:</v>
      </c>
      <c r="D171" s="327" t="str">
        <f>Products!D978</f>
        <v>ECO-CELL</v>
      </c>
      <c r="E171" s="328"/>
      <c r="F171" s="327" t="str">
        <f>Products!H978</f>
        <v>ECO-RESIST</v>
      </c>
      <c r="G171" s="328"/>
    </row>
    <row r="172" spans="1:11" x14ac:dyDescent="0.25">
      <c r="A172" s="29"/>
      <c r="B172" s="364"/>
      <c r="C172" s="298" t="str">
        <f>Products!C979</f>
        <v>виконання:</v>
      </c>
      <c r="D172" s="295" t="str">
        <f>Products!D979</f>
        <v>одностулкове</v>
      </c>
      <c r="E172" s="296" t="str">
        <f>Products!F979</f>
        <v>двостулкові</v>
      </c>
      <c r="F172" s="295" t="str">
        <f>Products!H979</f>
        <v>одностулкове</v>
      </c>
      <c r="G172" s="296" t="str">
        <f>Products!J979</f>
        <v>двостулкові</v>
      </c>
    </row>
    <row r="173" spans="1:11" x14ac:dyDescent="0.25">
      <c r="A173" s="29"/>
      <c r="B173" s="260" t="str">
        <f>Products!B980</f>
        <v>A (75 - 95 мм)</v>
      </c>
      <c r="C173" s="299"/>
      <c r="D173" s="190">
        <f>Products!E980</f>
        <v>3820</v>
      </c>
      <c r="E173" s="191">
        <f>Products!G980</f>
        <v>5360</v>
      </c>
      <c r="F173" s="190">
        <f>Products!I980</f>
        <v>4670</v>
      </c>
      <c r="G173" s="191">
        <f>Products!K980</f>
        <v>6540</v>
      </c>
    </row>
    <row r="174" spans="1:11" x14ac:dyDescent="0.25">
      <c r="A174" s="29"/>
      <c r="B174" s="260" t="str">
        <f>Products!B981</f>
        <v>B (95 - 115 мм)</v>
      </c>
      <c r="C174" s="300"/>
      <c r="D174" s="190">
        <f>Products!E981</f>
        <v>4020</v>
      </c>
      <c r="E174" s="191">
        <f>Products!G981</f>
        <v>5630</v>
      </c>
      <c r="F174" s="190">
        <f>Products!I981</f>
        <v>4910</v>
      </c>
      <c r="G174" s="191">
        <f>Products!K981</f>
        <v>6880.0000000000009</v>
      </c>
    </row>
    <row r="175" spans="1:11" x14ac:dyDescent="0.25">
      <c r="A175" s="29"/>
      <c r="B175" s="260" t="str">
        <f>Products!B982</f>
        <v>B+ (100 - 120 мм)</v>
      </c>
      <c r="C175" s="300"/>
      <c r="D175" s="190">
        <f>Products!E982</f>
        <v>4140</v>
      </c>
      <c r="E175" s="191">
        <f>Products!G982</f>
        <v>5810</v>
      </c>
      <c r="F175" s="190">
        <f>Products!I982</f>
        <v>5050.0000000000009</v>
      </c>
      <c r="G175" s="191">
        <f>Products!K982</f>
        <v>7060.0000000000009</v>
      </c>
    </row>
    <row r="176" spans="1:11" x14ac:dyDescent="0.25">
      <c r="A176" s="29"/>
      <c r="B176" s="260" t="str">
        <f>Products!B983</f>
        <v>C (120 - 140 мм)</v>
      </c>
      <c r="C176" s="300"/>
      <c r="D176" s="190">
        <f>Products!E983</f>
        <v>4240</v>
      </c>
      <c r="E176" s="191">
        <f>Products!G983</f>
        <v>5920.0000000000009</v>
      </c>
      <c r="F176" s="190">
        <f>Products!I983</f>
        <v>5160</v>
      </c>
      <c r="G176" s="191">
        <f>Products!K983</f>
        <v>7230</v>
      </c>
    </row>
    <row r="177" spans="1:11" x14ac:dyDescent="0.25">
      <c r="A177" s="29"/>
      <c r="B177" s="260" t="str">
        <f>Products!B984</f>
        <v>D (140 - 160 мм)</v>
      </c>
      <c r="C177" s="300"/>
      <c r="D177" s="190">
        <f>Products!E984</f>
        <v>4470</v>
      </c>
      <c r="E177" s="191">
        <f>Products!G984</f>
        <v>6270</v>
      </c>
      <c r="F177" s="190">
        <f>Products!I984</f>
        <v>5390</v>
      </c>
      <c r="G177" s="191">
        <f>Products!K984</f>
        <v>7670</v>
      </c>
    </row>
    <row r="178" spans="1:11" x14ac:dyDescent="0.25">
      <c r="A178" s="29"/>
      <c r="B178" s="260" t="str">
        <f>Products!B985</f>
        <v>E (160 - 180 мм)</v>
      </c>
      <c r="C178" s="300"/>
      <c r="D178" s="190">
        <f>Products!E985</f>
        <v>4670</v>
      </c>
      <c r="E178" s="191">
        <f>Products!G985</f>
        <v>6520.0000000000009</v>
      </c>
      <c r="F178" s="190">
        <f>Products!I985</f>
        <v>5640</v>
      </c>
      <c r="G178" s="191">
        <f>Products!K985</f>
        <v>7900</v>
      </c>
    </row>
    <row r="179" spans="1:11" x14ac:dyDescent="0.25">
      <c r="A179" s="29"/>
      <c r="B179" s="260" t="str">
        <f>Products!B986</f>
        <v>F (180 - 200 мм)</v>
      </c>
      <c r="C179" s="300"/>
      <c r="D179" s="190">
        <f>Products!E986</f>
        <v>4900</v>
      </c>
      <c r="E179" s="191">
        <f>Products!G986</f>
        <v>6840</v>
      </c>
      <c r="F179" s="190">
        <f>Products!I986</f>
        <v>5900</v>
      </c>
      <c r="G179" s="191">
        <f>Products!K986</f>
        <v>8270</v>
      </c>
    </row>
    <row r="180" spans="1:11" x14ac:dyDescent="0.25">
      <c r="A180" s="29"/>
      <c r="B180" s="260" t="str">
        <f>Products!B987</f>
        <v>G (200 - 220 мм)</v>
      </c>
      <c r="C180" s="300"/>
      <c r="D180" s="190">
        <f>Products!E987</f>
        <v>5090</v>
      </c>
      <c r="E180" s="191">
        <f>Products!G987</f>
        <v>7129.9999999999991</v>
      </c>
      <c r="F180" s="190">
        <f>Products!I987</f>
        <v>6140</v>
      </c>
      <c r="G180" s="191">
        <f>Products!K987</f>
        <v>8590</v>
      </c>
    </row>
    <row r="181" spans="1:11" x14ac:dyDescent="0.25">
      <c r="A181" s="29"/>
      <c r="B181" s="260" t="str">
        <f>Products!B988</f>
        <v>H (220 - 240 мм)</v>
      </c>
      <c r="C181" s="300"/>
      <c r="D181" s="190">
        <f>Products!E988</f>
        <v>5300</v>
      </c>
      <c r="E181" s="191">
        <f>Products!G988</f>
        <v>7420</v>
      </c>
      <c r="F181" s="190">
        <f>Products!I988</f>
        <v>6380</v>
      </c>
      <c r="G181" s="191">
        <f>Products!K988</f>
        <v>8940</v>
      </c>
    </row>
    <row r="182" spans="1:11" x14ac:dyDescent="0.25">
      <c r="A182" s="29"/>
      <c r="B182" s="265" t="str">
        <f>Products!B989</f>
        <v>I (240 - 260 мм)</v>
      </c>
      <c r="C182" s="301"/>
      <c r="D182" s="192">
        <f>Products!E989</f>
        <v>5520</v>
      </c>
      <c r="E182" s="193">
        <f>Products!G989</f>
        <v>7740</v>
      </c>
      <c r="F182" s="192">
        <f>Products!I989</f>
        <v>6610.0000000000009</v>
      </c>
      <c r="G182" s="191">
        <f>Products!K989</f>
        <v>9270</v>
      </c>
    </row>
    <row r="183" spans="1:11" x14ac:dyDescent="0.25">
      <c r="A183" s="29"/>
      <c r="B183" s="274"/>
      <c r="C183" s="289"/>
      <c r="D183" s="146"/>
      <c r="E183" s="146"/>
      <c r="F183" s="146"/>
      <c r="G183" s="146"/>
    </row>
    <row r="184" spans="1:11" x14ac:dyDescent="0.25">
      <c r="A184" s="29"/>
      <c r="B184" s="274"/>
      <c r="C184" s="289"/>
      <c r="D184" s="146"/>
      <c r="E184" s="146"/>
      <c r="F184" s="146"/>
      <c r="G184" s="146"/>
    </row>
    <row r="185" spans="1:11" s="105" customFormat="1" x14ac:dyDescent="0.25">
      <c r="B185" s="274"/>
      <c r="C185" s="289"/>
      <c r="D185" s="146"/>
      <c r="E185" s="146"/>
      <c r="F185" s="146"/>
      <c r="G185" s="146"/>
      <c r="H185" s="30"/>
      <c r="I185" s="30"/>
      <c r="J185" s="30"/>
      <c r="K185" s="30"/>
    </row>
    <row r="186" spans="1:11" x14ac:dyDescent="0.25">
      <c r="A186" s="29"/>
      <c r="B186" s="43" t="str">
        <f>Products!B992</f>
        <v>ПЛАНКИ РЕГУЛЮВАЛЬНІ</v>
      </c>
      <c r="C186" s="44"/>
      <c r="D186" s="147"/>
      <c r="E186" s="147"/>
      <c r="F186" s="146"/>
      <c r="G186" s="146"/>
    </row>
    <row r="187" spans="1:11" x14ac:dyDescent="0.25">
      <c r="A187" s="29"/>
      <c r="B187" s="13" t="str">
        <f>Products!B993</f>
        <v>Планка (1 к-т) 80 мм</v>
      </c>
      <c r="C187" s="133"/>
      <c r="D187" s="188">
        <f>Products!E993</f>
        <v>1220</v>
      </c>
      <c r="E187" s="189">
        <f>Products!G993</f>
        <v>1590</v>
      </c>
      <c r="F187" s="189">
        <f>Products!I993</f>
        <v>1480.0000000000002</v>
      </c>
      <c r="G187" s="189">
        <f>Products!K993</f>
        <v>1940</v>
      </c>
    </row>
    <row r="188" spans="1:11" x14ac:dyDescent="0.25">
      <c r="A188" s="29"/>
      <c r="B188" s="16" t="str">
        <f>Products!B994</f>
        <v>Планка (1 к-т) 160 мм</v>
      </c>
      <c r="C188" s="136"/>
      <c r="D188" s="190">
        <f>Products!E994</f>
        <v>2080</v>
      </c>
      <c r="E188" s="191">
        <f>Products!G994</f>
        <v>2700</v>
      </c>
      <c r="F188" s="191">
        <f>Products!I994</f>
        <v>2560</v>
      </c>
      <c r="G188" s="191">
        <f>Products!K994</f>
        <v>3320.0000000000005</v>
      </c>
    </row>
    <row r="189" spans="1:11" x14ac:dyDescent="0.25">
      <c r="B189" s="21" t="str">
        <f>Products!B995</f>
        <v>Планка (1 к-т) 200 мм</v>
      </c>
      <c r="C189" s="134"/>
      <c r="D189" s="192">
        <f>Products!E995</f>
        <v>2530</v>
      </c>
      <c r="E189" s="193">
        <f>Products!G995</f>
        <v>3290.0000000000005</v>
      </c>
      <c r="F189" s="193">
        <f>Products!I995</f>
        <v>3140.0000000000005</v>
      </c>
      <c r="G189" s="193">
        <f>Products!K995</f>
        <v>4070</v>
      </c>
    </row>
    <row r="190" spans="1:11" x14ac:dyDescent="0.25">
      <c r="C190" s="31"/>
      <c r="D190" s="171"/>
      <c r="E190" s="171"/>
      <c r="F190" s="146"/>
      <c r="G190" s="146"/>
    </row>
    <row r="191" spans="1:11" x14ac:dyDescent="0.25">
      <c r="B191" s="368" t="str">
        <f>Products!B1050</f>
        <v>Плінтуси</v>
      </c>
      <c r="C191" s="369"/>
      <c r="D191" s="369"/>
      <c r="E191" s="369"/>
      <c r="F191" s="130"/>
      <c r="G191" s="130"/>
      <c r="H191" s="130"/>
      <c r="I191" s="130"/>
      <c r="J191" s="125"/>
      <c r="K191" s="126"/>
    </row>
    <row r="192" spans="1:11" x14ac:dyDescent="0.25">
      <c r="B192" s="363" t="str">
        <f>Products!B1052</f>
        <v>модель</v>
      </c>
      <c r="C192" s="131" t="str">
        <f>Products!C1052</f>
        <v>покриття:</v>
      </c>
      <c r="D192" s="128" t="str">
        <f>Products!D1052</f>
        <v>ECO-CELL</v>
      </c>
      <c r="E192" s="128" t="str">
        <f>Products!F1052</f>
        <v>ECO-RESIST</v>
      </c>
      <c r="I192" s="292" t="str">
        <f>Products!B1057</f>
        <v>Замовлення на Плінтус приймаються в кількості від 8 шт.</v>
      </c>
      <c r="J192" s="292"/>
      <c r="K192" s="293"/>
    </row>
    <row r="193" spans="1:11" x14ac:dyDescent="0.25">
      <c r="B193" s="365"/>
      <c r="C193" s="98" t="str">
        <f>Products!C1053</f>
        <v>виконання:</v>
      </c>
      <c r="D193" s="121" t="str">
        <f>Products!D1053</f>
        <v>за 1 шт.</v>
      </c>
      <c r="E193" s="121" t="str">
        <f>Products!F1053</f>
        <v>за 1 шт.</v>
      </c>
    </row>
    <row r="194" spans="1:11" x14ac:dyDescent="0.25">
      <c r="B194" s="13" t="str">
        <f>Products!B1054</f>
        <v>Плінтус 60 мм</v>
      </c>
      <c r="C194" s="135"/>
      <c r="D194" s="270">
        <f>Products!E1054</f>
        <v>370.00000000000006</v>
      </c>
      <c r="E194" s="270">
        <f>Products!G1054</f>
        <v>470</v>
      </c>
    </row>
    <row r="195" spans="1:11" x14ac:dyDescent="0.25">
      <c r="B195" s="21" t="str">
        <f>Products!B1055</f>
        <v>Плінтус 80 мм</v>
      </c>
      <c r="C195" s="134"/>
      <c r="D195" s="271">
        <f>Products!E1055</f>
        <v>410</v>
      </c>
      <c r="E195" s="271">
        <f>Products!G1055</f>
        <v>520</v>
      </c>
    </row>
    <row r="196" spans="1:11" s="29" customFormat="1" x14ac:dyDescent="0.25">
      <c r="B196" s="30"/>
      <c r="C196" s="31"/>
      <c r="D196" s="171"/>
      <c r="E196" s="171"/>
      <c r="F196" s="146"/>
      <c r="G196" s="146"/>
      <c r="H196" s="30"/>
      <c r="I196" s="30"/>
      <c r="J196" s="30"/>
      <c r="K196" s="30"/>
    </row>
    <row r="197" spans="1:11" ht="12.75" customHeight="1" x14ac:dyDescent="0.25">
      <c r="A197" s="29"/>
      <c r="B197" s="368" t="str">
        <f>TITLE!$C$29</f>
        <v>Фрамуги</v>
      </c>
      <c r="C197" s="369"/>
      <c r="D197" s="369"/>
      <c r="E197" s="369"/>
      <c r="F197" s="130"/>
      <c r="G197" s="130"/>
      <c r="H197" s="130"/>
      <c r="I197" s="130"/>
      <c r="J197" s="125"/>
      <c r="K197" s="126"/>
    </row>
    <row r="198" spans="1:11" ht="12.75" customHeight="1" x14ac:dyDescent="0.25">
      <c r="A198" s="29"/>
      <c r="B198" s="363" t="str">
        <f>Products!B1110</f>
        <v>модель</v>
      </c>
      <c r="C198" s="131" t="str">
        <f>Products!C1110</f>
        <v>покриття:</v>
      </c>
      <c r="D198" s="128" t="str">
        <f>Products!D1110</f>
        <v>ECO-CELL</v>
      </c>
      <c r="E198" s="128" t="str">
        <f>Products!F1110</f>
        <v>ECO-RESIST</v>
      </c>
      <c r="F198" s="146"/>
      <c r="G198" s="36"/>
      <c r="I198" s="172" t="str">
        <f>Products!B1126</f>
        <v>Вид скління:</v>
      </c>
      <c r="J198" s="163" t="str">
        <f>Products!C1126</f>
        <v>Фільонка</v>
      </c>
      <c r="K198" s="137">
        <f>Products!E1126</f>
        <v>1400</v>
      </c>
    </row>
    <row r="199" spans="1:11" s="105" customFormat="1" x14ac:dyDescent="0.25">
      <c r="B199" s="365"/>
      <c r="C199" s="98" t="str">
        <f>Products!C1111</f>
        <v>виконання:</v>
      </c>
      <c r="D199" s="121" t="str">
        <f>Products!D1111</f>
        <v>за 1 пг.м</v>
      </c>
      <c r="E199" s="121" t="str">
        <f>Products!F1111</f>
        <v>за 1 пг.м</v>
      </c>
      <c r="F199" s="146"/>
      <c r="G199" s="36"/>
      <c r="H199" s="294"/>
      <c r="I199" s="164" t="str">
        <f>Products!B1127</f>
        <v>ціна за 1 кв.м</v>
      </c>
      <c r="J199" s="163" t="str">
        <f>Products!C1127</f>
        <v>Сатин</v>
      </c>
      <c r="K199" s="141">
        <f>Products!E1127</f>
        <v>1290</v>
      </c>
    </row>
    <row r="200" spans="1:11" x14ac:dyDescent="0.25">
      <c r="A200" s="29"/>
      <c r="B200" s="43" t="str">
        <f>Products!B1112</f>
        <v>ФРАМУГА ECO-FIT</v>
      </c>
      <c r="C200" s="44"/>
      <c r="D200" s="146"/>
      <c r="E200" s="146"/>
      <c r="F200" s="146"/>
      <c r="G200" s="147"/>
      <c r="H200" s="27"/>
      <c r="I200" s="233"/>
      <c r="J200" s="146"/>
      <c r="K200" s="105"/>
    </row>
    <row r="201" spans="1:11" x14ac:dyDescent="0.25">
      <c r="A201" s="29"/>
      <c r="B201" s="13" t="str">
        <f>Products!B1113</f>
        <v>A (75 - 95 мм)</v>
      </c>
      <c r="C201" s="135"/>
      <c r="D201" s="138">
        <f>Products!E1113</f>
        <v>1130</v>
      </c>
      <c r="E201" s="138">
        <f>Products!G1113</f>
        <v>1370</v>
      </c>
      <c r="F201" s="146"/>
      <c r="G201" s="148"/>
      <c r="H201" s="27"/>
      <c r="I201" s="165"/>
      <c r="J201" s="165"/>
    </row>
    <row r="202" spans="1:11" x14ac:dyDescent="0.25">
      <c r="A202" s="29"/>
      <c r="B202" s="16" t="str">
        <f>Products!B1114</f>
        <v>B (95 - 115 мм)</v>
      </c>
      <c r="C202" s="136"/>
      <c r="D202" s="140">
        <f>Products!E1114</f>
        <v>1220</v>
      </c>
      <c r="E202" s="140">
        <f>Products!G1114</f>
        <v>1510.0000000000002</v>
      </c>
      <c r="F202" s="146"/>
      <c r="G202" s="148"/>
      <c r="H202" s="27"/>
      <c r="I202" s="165"/>
      <c r="J202" s="165"/>
    </row>
    <row r="203" spans="1:11" x14ac:dyDescent="0.25">
      <c r="A203" s="29"/>
      <c r="B203" s="16" t="str">
        <f>Products!B1115</f>
        <v>B+ (100 - 120 мм)</v>
      </c>
      <c r="C203" s="136"/>
      <c r="D203" s="140">
        <f>Products!E1115</f>
        <v>1270.0000000000002</v>
      </c>
      <c r="E203" s="140">
        <f>Products!G1115</f>
        <v>1560</v>
      </c>
      <c r="F203" s="146"/>
      <c r="G203" s="148"/>
      <c r="H203" s="27"/>
      <c r="I203" s="165"/>
      <c r="J203" s="165"/>
    </row>
    <row r="204" spans="1:11" x14ac:dyDescent="0.25">
      <c r="A204" s="29"/>
      <c r="B204" s="16" t="str">
        <f>Products!B1116</f>
        <v>C (120 - 140 мм)</v>
      </c>
      <c r="C204" s="136"/>
      <c r="D204" s="140">
        <f>Products!E1116</f>
        <v>1320</v>
      </c>
      <c r="E204" s="140">
        <f>Products!G1116</f>
        <v>1620</v>
      </c>
      <c r="F204" s="146"/>
      <c r="G204" s="148"/>
      <c r="H204" s="27"/>
      <c r="I204" s="165"/>
      <c r="J204" s="165"/>
    </row>
    <row r="205" spans="1:11" x14ac:dyDescent="0.25">
      <c r="A205" s="29"/>
      <c r="B205" s="16" t="str">
        <f>Products!B1117</f>
        <v>D (140 - 160 мм)</v>
      </c>
      <c r="C205" s="136"/>
      <c r="D205" s="140">
        <f>Products!E1117</f>
        <v>1410</v>
      </c>
      <c r="E205" s="140">
        <f>Products!G1117</f>
        <v>1760</v>
      </c>
      <c r="F205" s="146"/>
      <c r="G205" s="148"/>
      <c r="H205" s="27"/>
      <c r="I205" s="165"/>
      <c r="J205" s="165"/>
    </row>
    <row r="206" spans="1:11" x14ac:dyDescent="0.25">
      <c r="A206" s="29"/>
      <c r="B206" s="16" t="str">
        <f>Products!B1118</f>
        <v>E (160 - 180 мм)</v>
      </c>
      <c r="C206" s="136"/>
      <c r="D206" s="140">
        <f>Products!E1118</f>
        <v>1520</v>
      </c>
      <c r="E206" s="140">
        <f>Products!G1118</f>
        <v>1900</v>
      </c>
      <c r="F206" s="146"/>
      <c r="G206" s="148"/>
      <c r="H206" s="27"/>
      <c r="I206" s="165"/>
      <c r="J206" s="165"/>
    </row>
    <row r="207" spans="1:11" x14ac:dyDescent="0.25">
      <c r="A207" s="29"/>
      <c r="B207" s="16" t="str">
        <f>Products!B1119</f>
        <v>F (180 - 200 мм)</v>
      </c>
      <c r="C207" s="136"/>
      <c r="D207" s="140">
        <f>Products!E1119</f>
        <v>1609.9999999999998</v>
      </c>
      <c r="E207" s="140">
        <f>Products!G1119</f>
        <v>2010</v>
      </c>
      <c r="F207" s="146"/>
      <c r="G207" s="148"/>
      <c r="H207" s="27"/>
      <c r="I207" s="165"/>
      <c r="J207" s="165"/>
    </row>
    <row r="208" spans="1:11" x14ac:dyDescent="0.25">
      <c r="A208" s="29"/>
      <c r="B208" s="16" t="str">
        <f>Products!B1120</f>
        <v>G (200 - 220 мм)</v>
      </c>
      <c r="C208" s="136"/>
      <c r="D208" s="140">
        <f>Products!E1120</f>
        <v>1710</v>
      </c>
      <c r="E208" s="140">
        <f>Products!G1120</f>
        <v>2160</v>
      </c>
      <c r="F208" s="146"/>
      <c r="G208" s="148"/>
      <c r="I208" s="165"/>
      <c r="J208" s="165"/>
    </row>
    <row r="209" spans="1:11" x14ac:dyDescent="0.25">
      <c r="A209" s="29"/>
      <c r="B209" s="16" t="str">
        <f>Products!B1121</f>
        <v>H (220 - 240 мм)</v>
      </c>
      <c r="C209" s="136"/>
      <c r="D209" s="140">
        <f>Products!E1121</f>
        <v>1810.0000000000002</v>
      </c>
      <c r="E209" s="140">
        <f>Products!G1121</f>
        <v>2280</v>
      </c>
      <c r="F209" s="146"/>
      <c r="G209" s="148"/>
      <c r="I209" s="165"/>
      <c r="J209" s="165"/>
    </row>
    <row r="210" spans="1:11" x14ac:dyDescent="0.25">
      <c r="B210" s="21" t="str">
        <f>Products!B1122</f>
        <v>I (240 - 260 мм)</v>
      </c>
      <c r="C210" s="134"/>
      <c r="D210" s="142">
        <f>Products!E1122</f>
        <v>1910</v>
      </c>
      <c r="E210" s="142">
        <f>Products!G1122</f>
        <v>2400</v>
      </c>
      <c r="F210" s="146"/>
      <c r="G210" s="148"/>
      <c r="H210" s="27"/>
      <c r="I210" s="165"/>
      <c r="J210" s="165"/>
    </row>
    <row r="211" spans="1:11" s="29" customFormat="1" x14ac:dyDescent="0.25">
      <c r="B211" s="30"/>
      <c r="C211" s="31"/>
      <c r="D211" s="31"/>
      <c r="E211" s="31"/>
      <c r="F211" s="105"/>
      <c r="G211" s="105"/>
      <c r="H211" s="105"/>
      <c r="I211" s="105"/>
      <c r="J211" s="30"/>
      <c r="K211" s="30"/>
    </row>
    <row r="212" spans="1:11" x14ac:dyDescent="0.25">
      <c r="A212" s="29"/>
      <c r="B212" s="368" t="str">
        <f>Products!B1192</f>
        <v>Дверні Ручки та Комплектуючі</v>
      </c>
      <c r="C212" s="369"/>
      <c r="D212" s="369"/>
      <c r="E212" s="369"/>
      <c r="F212" s="130"/>
      <c r="G212" s="130"/>
      <c r="H212" s="130"/>
      <c r="I212" s="130"/>
      <c r="J212" s="125"/>
      <c r="K212" s="126"/>
    </row>
    <row r="213" spans="1:11" x14ac:dyDescent="0.25">
      <c r="A213" s="29"/>
      <c r="B213" s="51" t="str">
        <f>Products!B1194</f>
        <v>модель</v>
      </c>
      <c r="C213" s="12" t="str">
        <f>Products!C1194</f>
        <v>покриття:</v>
      </c>
      <c r="D213" s="12" t="str">
        <f>Products!D1194</f>
        <v>Золото</v>
      </c>
      <c r="E213" s="12" t="str">
        <f>Products!F1194</f>
        <v>Срібло</v>
      </c>
      <c r="F213" s="12" t="str">
        <f>Products!H1194</f>
        <v>Срібло матове</v>
      </c>
      <c r="G213" s="36"/>
      <c r="H213" s="36"/>
      <c r="I213" s="36"/>
    </row>
    <row r="214" spans="1:11" x14ac:dyDescent="0.25">
      <c r="A214" s="29"/>
      <c r="B214" s="13" t="str">
        <f>Products!B1195</f>
        <v>Ручка VERONA</v>
      </c>
      <c r="C214" s="77"/>
      <c r="D214" s="138">
        <f>Products!E1195</f>
        <v>4250</v>
      </c>
      <c r="E214" s="138"/>
      <c r="F214" s="138">
        <f>Products!I1195</f>
        <v>4250</v>
      </c>
      <c r="G214" s="148"/>
      <c r="H214" s="49"/>
      <c r="I214" s="27"/>
      <c r="J214" s="173"/>
      <c r="K214" s="174"/>
    </row>
    <row r="215" spans="1:11" x14ac:dyDescent="0.25">
      <c r="A215" s="29"/>
      <c r="B215" s="16" t="str">
        <f>Products!B1196</f>
        <v>Ручка MILANO</v>
      </c>
      <c r="C215" s="53"/>
      <c r="D215" s="140">
        <f>Products!E1196</f>
        <v>4250</v>
      </c>
      <c r="E215" s="140"/>
      <c r="F215" s="140">
        <f>Products!I1196</f>
        <v>4250</v>
      </c>
      <c r="G215" s="148"/>
      <c r="H215" s="49"/>
      <c r="I215" s="27"/>
      <c r="J215" s="165"/>
      <c r="K215" s="165"/>
    </row>
    <row r="216" spans="1:11" x14ac:dyDescent="0.25">
      <c r="A216" s="29"/>
      <c r="B216" s="16" t="str">
        <f>Products!B1197</f>
        <v>Ручка HANDY</v>
      </c>
      <c r="C216" s="53"/>
      <c r="D216" s="140">
        <f>Products!E1197</f>
        <v>2070</v>
      </c>
      <c r="E216" s="140">
        <f>Products!G1197</f>
        <v>2070</v>
      </c>
      <c r="F216" s="140"/>
      <c r="G216" s="148"/>
      <c r="H216" s="49"/>
      <c r="I216" s="27"/>
      <c r="J216" s="165"/>
      <c r="K216" s="165"/>
    </row>
    <row r="217" spans="1:11" x14ac:dyDescent="0.25">
      <c r="A217" s="29"/>
      <c r="B217" s="16" t="str">
        <f>Products!B1198</f>
        <v>Ручка PRIUS</v>
      </c>
      <c r="C217" s="53"/>
      <c r="D217" s="140"/>
      <c r="E217" s="140">
        <f>Products!G1198</f>
        <v>2070</v>
      </c>
      <c r="F217" s="140">
        <f>Products!I1198</f>
        <v>2070</v>
      </c>
      <c r="G217" s="148"/>
      <c r="H217" s="49"/>
      <c r="I217" s="27"/>
      <c r="J217" s="165"/>
      <c r="K217" s="165"/>
    </row>
    <row r="218" spans="1:11" x14ac:dyDescent="0.25">
      <c r="B218" s="21" t="str">
        <f>Products!B1199</f>
        <v>Ручка OFFICE</v>
      </c>
      <c r="C218" s="57"/>
      <c r="D218" s="142">
        <f>Products!E1199</f>
        <v>990</v>
      </c>
      <c r="E218" s="142"/>
      <c r="F218" s="142">
        <f>Products!I1199</f>
        <v>990</v>
      </c>
      <c r="G218" s="148"/>
      <c r="H218" s="49"/>
      <c r="I218" s="27"/>
      <c r="J218" s="165"/>
      <c r="K218" s="165"/>
    </row>
    <row r="219" spans="1:11" s="29" customFormat="1" x14ac:dyDescent="0.25">
      <c r="B219" s="30"/>
      <c r="C219" s="31"/>
      <c r="D219" s="31"/>
      <c r="E219" s="31"/>
      <c r="F219" s="30"/>
      <c r="G219" s="30"/>
      <c r="H219" s="30"/>
      <c r="I219" s="30"/>
      <c r="J219" s="30"/>
      <c r="K219" s="30"/>
    </row>
    <row r="220" spans="1:11" x14ac:dyDescent="0.25">
      <c r="A220" s="29"/>
      <c r="B220" s="368" t="str">
        <f>TITLE!$C$33</f>
        <v>Інші Аксесуари</v>
      </c>
      <c r="C220" s="369"/>
      <c r="D220" s="369"/>
      <c r="E220" s="369"/>
      <c r="F220" s="130"/>
      <c r="G220" s="130"/>
      <c r="H220" s="130"/>
      <c r="I220" s="130"/>
      <c r="J220" s="125"/>
      <c r="K220" s="126"/>
    </row>
    <row r="221" spans="1:11" x14ac:dyDescent="0.25">
      <c r="A221" s="29"/>
      <c r="B221" s="51" t="str">
        <f>Products!B1248</f>
        <v>модель</v>
      </c>
      <c r="C221" s="12"/>
      <c r="D221" s="12" t="str">
        <f>Products!D1248</f>
        <v>ціна</v>
      </c>
      <c r="E221" s="36"/>
      <c r="F221" s="36"/>
      <c r="G221" s="36"/>
      <c r="H221" s="36"/>
      <c r="I221" s="36"/>
    </row>
    <row r="222" spans="1:11" x14ac:dyDescent="0.25">
      <c r="A222" s="29"/>
      <c r="B222" s="13" t="str">
        <f>Products!B1249</f>
        <v>Замок STANDARD</v>
      </c>
      <c r="C222" s="77"/>
      <c r="D222" s="138">
        <f>Products!E1249</f>
        <v>460.00000000000006</v>
      </c>
      <c r="E222" s="27"/>
      <c r="F222" s="27"/>
      <c r="G222" s="27"/>
      <c r="H222" s="49"/>
      <c r="I222" s="27"/>
      <c r="J222" s="173"/>
      <c r="K222" s="174"/>
    </row>
    <row r="223" spans="1:11" x14ac:dyDescent="0.25">
      <c r="A223" s="29"/>
      <c r="B223" s="16" t="str">
        <f>Products!B1250</f>
        <v>Завіса штирьова</v>
      </c>
      <c r="C223" s="53"/>
      <c r="D223" s="140">
        <f>Products!E1250</f>
        <v>140</v>
      </c>
      <c r="E223" s="27"/>
      <c r="F223" s="49"/>
      <c r="G223" s="27"/>
      <c r="H223" s="49"/>
      <c r="I223" s="27"/>
      <c r="J223" s="165"/>
      <c r="K223" s="165"/>
    </row>
    <row r="224" spans="1:11" x14ac:dyDescent="0.25">
      <c r="A224" s="29"/>
      <c r="B224" s="16" t="str">
        <f>Products!B1251</f>
        <v>Відповідна планка</v>
      </c>
      <c r="C224" s="53"/>
      <c r="D224" s="140">
        <f>Products!E1251</f>
        <v>140</v>
      </c>
      <c r="E224" s="49"/>
      <c r="F224" s="49"/>
      <c r="G224" s="27"/>
      <c r="H224" s="49"/>
      <c r="I224" s="27"/>
      <c r="J224" s="165"/>
      <c r="K224" s="165"/>
    </row>
    <row r="225" spans="2:11" x14ac:dyDescent="0.25">
      <c r="B225" s="21" t="str">
        <f>Products!B1252</f>
        <v>Шпінгалет</v>
      </c>
      <c r="C225" s="57"/>
      <c r="D225" s="142">
        <f>Products!E1252</f>
        <v>230.00000000000003</v>
      </c>
      <c r="E225" s="27"/>
      <c r="F225" s="49"/>
      <c r="G225" s="27"/>
      <c r="H225" s="49"/>
      <c r="I225" s="27"/>
      <c r="J225" s="165"/>
      <c r="K225" s="165"/>
    </row>
    <row r="226" spans="2:11" x14ac:dyDescent="0.25">
      <c r="C226" s="31"/>
      <c r="D226" s="31"/>
      <c r="E226" s="31"/>
    </row>
    <row r="227" spans="2:11" x14ac:dyDescent="0.25">
      <c r="C227" s="31"/>
      <c r="D227" s="31"/>
      <c r="E227" s="31"/>
    </row>
    <row r="228" spans="2:11" x14ac:dyDescent="0.25">
      <c r="C228" s="31"/>
      <c r="D228" s="31"/>
      <c r="E228" s="31"/>
    </row>
    <row r="229" spans="2:11" x14ac:dyDescent="0.25">
      <c r="C229" s="31"/>
      <c r="D229" s="31"/>
    </row>
  </sheetData>
  <sheetProtection algorithmName="SHA-512" hashValue="/FbfuBZDZD0s4uzSX4+UPn/Zg4mPlWb8Pk/F29NgK1NtMhtBRn1CjPPSNRxmtUXxLgQrXr5hotA8gJymsLNZvg==" saltValue="WjE+6Mx8dcr0k0iJIi3azw==" spinCount="100000" sheet="1" objects="1" scenarios="1" selectLockedCells="1" selectUnlockedCells="1"/>
  <mergeCells count="46">
    <mergeCell ref="F145:G145"/>
    <mergeCell ref="B139:E139"/>
    <mergeCell ref="D145:E145"/>
    <mergeCell ref="B145:B146"/>
    <mergeCell ref="B89:E89"/>
    <mergeCell ref="B90:B92"/>
    <mergeCell ref="B104:E104"/>
    <mergeCell ref="B105:B107"/>
    <mergeCell ref="B119:E119"/>
    <mergeCell ref="B120:B122"/>
    <mergeCell ref="B144:E144"/>
    <mergeCell ref="B74:E74"/>
    <mergeCell ref="B57:B59"/>
    <mergeCell ref="B127:E127"/>
    <mergeCell ref="B75:B77"/>
    <mergeCell ref="D3:G3"/>
    <mergeCell ref="B56:E56"/>
    <mergeCell ref="B43:E43"/>
    <mergeCell ref="D4:G4"/>
    <mergeCell ref="B6:C6"/>
    <mergeCell ref="D6:K6"/>
    <mergeCell ref="B44:B46"/>
    <mergeCell ref="B17:B19"/>
    <mergeCell ref="B25:E25"/>
    <mergeCell ref="B26:B28"/>
    <mergeCell ref="B34:E34"/>
    <mergeCell ref="B35:B37"/>
    <mergeCell ref="B7:E7"/>
    <mergeCell ref="B8:B10"/>
    <mergeCell ref="B16:E16"/>
    <mergeCell ref="F157:G157"/>
    <mergeCell ref="B128:B130"/>
    <mergeCell ref="B140:B141"/>
    <mergeCell ref="B156:E156"/>
    <mergeCell ref="B220:E220"/>
    <mergeCell ref="B197:E197"/>
    <mergeCell ref="D157:E157"/>
    <mergeCell ref="B157:B158"/>
    <mergeCell ref="B198:B199"/>
    <mergeCell ref="B212:E212"/>
    <mergeCell ref="B192:B193"/>
    <mergeCell ref="B191:E191"/>
    <mergeCell ref="B170:E170"/>
    <mergeCell ref="B171:B172"/>
    <mergeCell ref="D171:E171"/>
    <mergeCell ref="F171:G171"/>
  </mergeCells>
  <phoneticPr fontId="5" type="noConversion"/>
  <pageMargins left="0.23622047244094491" right="0.27559055118110237" top="0.66" bottom="0.78" header="0.27559055118110237" footer="0.31496062992125984"/>
  <pageSetup paperSize="9" scale="68" fitToHeight="10" orientation="portrait" r:id="rId1"/>
  <headerFooter alignWithMargins="0"/>
  <rowBreaks count="1" manualBreakCount="1">
    <brk id="1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20</vt:i4>
      </vt:variant>
    </vt:vector>
  </HeadingPairs>
  <TitlesOfParts>
    <vt:vector size="23" baseType="lpstr">
      <vt:lpstr>TITLE</vt:lpstr>
      <vt:lpstr>Products</vt:lpstr>
      <vt:lpstr>print page</vt:lpstr>
      <vt:lpstr>Door_ECO_Bergamo</vt:lpstr>
      <vt:lpstr>Door_ECO_Grande</vt:lpstr>
      <vt:lpstr>Door_ECO_Liano</vt:lpstr>
      <vt:lpstr>Door_ECO_Milano</vt:lpstr>
      <vt:lpstr>Door_ECO_Piano</vt:lpstr>
      <vt:lpstr>Door_ECO_Tango</vt:lpstr>
      <vt:lpstr>Door_ECO_Viento</vt:lpstr>
      <vt:lpstr>DoorHandles</vt:lpstr>
      <vt:lpstr>ECO_Slide</vt:lpstr>
      <vt:lpstr>Frame_Classic</vt:lpstr>
      <vt:lpstr>Frame_ECO_Fit</vt:lpstr>
      <vt:lpstr>Framugi</vt:lpstr>
      <vt:lpstr>Furniture</vt:lpstr>
      <vt:lpstr>MENU</vt:lpstr>
      <vt:lpstr>Plinths</vt:lpstr>
      <vt:lpstr>vat</vt:lpstr>
      <vt:lpstr>Полотна_збірні___ECO_ELIT</vt:lpstr>
      <vt:lpstr>Полотна_збірні__ECO_NEAPOL</vt:lpstr>
      <vt:lpstr>Полотна_збірні__ECO_VIVA</vt:lpstr>
      <vt:lpstr>Полотна_збірні_ECO_FLORENCIA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2023-09-29T05:58:29Z</cp:lastPrinted>
  <dcterms:created xsi:type="dcterms:W3CDTF">2011-03-01T10:54:25Z</dcterms:created>
  <dcterms:modified xsi:type="dcterms:W3CDTF">2026-03-13T11:55:54Z</dcterms:modified>
</cp:coreProperties>
</file>