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gpl.dp.ua\DFS-LI\DATA$\FD\05.Отдел Маркетинга Рекламы\Маркетинг\Прайсы и ордеры\"/>
    </mc:Choice>
  </mc:AlternateContent>
  <bookViews>
    <workbookView xWindow="0" yWindow="0" windowWidth="23040" windowHeight="9072" tabRatio="548"/>
  </bookViews>
  <sheets>
    <sheet name="form" sheetId="1" r:id="rId1"/>
    <sheet name="ORDER" sheetId="5" r:id="rId2"/>
    <sheet name="Код ДП" sheetId="6" r:id="rId3"/>
    <sheet name="Код КД" sheetId="7" r:id="rId4"/>
    <sheet name="Код ФР" sheetId="9" r:id="rId5"/>
    <sheet name="Код ПГ" sheetId="10" r:id="rId6"/>
    <sheet name="Лист1" sheetId="4" state="veryHidden" r:id="rId7"/>
  </sheets>
  <definedNames>
    <definedName name="color">OFFSET(Лист1!$BO$12,MATCH(form!$H1,Лист1!$BO:$BO,0)-12,1,COUNTIF(Лист1!$BO:$BO,form!$H1),1)</definedName>
    <definedName name="decor">OFFSET(Лист1!$BK$12,MATCH(form!$C1,Лист1!$BK:$BK,0)-12,1,COUNTIF(Лист1!$BK:$BK,form!$C1),1)</definedName>
    <definedName name="dimentions">OFFSET(Лист1!$BG$12,MATCH(form!$F1,Лист1!$BG:$BG,0)-12,1,COUNTIF(Лист1!$BG:$BG,form!$F1),1)</definedName>
    <definedName name="door_frame">OFFSET(Лист1!$CM$12,MATCH(form!$Z1,Лист1!$CM:$CM,0)-12,1,COUNTIF(Лист1!$CM:$CM,form!$Z1),1)</definedName>
    <definedName name="filling">OFFSET(Лист1!$BS$12,MATCH(form!$A1,Лист1!$BS:$BS,0)-12,1,COUNTIF(Лист1!$BS:$BS,form!$A1),1)</definedName>
    <definedName name="frame_model">OFFSET(Лист1!$CQ$12,MATCH(form!$O1,Лист1!$CQ:$CQ,0)-12,1,COUNTIF(Лист1!$CQ:$CQ,form!$O1),1)</definedName>
    <definedName name="frame_nalichnik">OFFSET(Лист1!$CU$12,MATCH(form!$O1,Лист1!$CU:$CU,0)-12,1,COUNTIF(Лист1!$CU:$CU,form!$O1),1)</definedName>
    <definedName name="furniture">OFFSET(Лист1!$CA$12,MATCH(form!$Y1,Лист1!$CA:$CA,0)-12,1,COUNTIF(Лист1!$CA:$CA,form!$Y1),1)</definedName>
    <definedName name="glass">OFFSET(Лист1!$BW$12,MATCH(form!$A1,Лист1!$BW:$BW,0)-12,1,COUNTIF(Лист1!$BW:$BW,form!$A1),1)</definedName>
    <definedName name="models">OFFSET(Лист1!$AU$12,MATCH(form!$C1,Лист1!$AU:$AU,0)-12,1,COUNTIF(Лист1!$AU:$AU,form!$C1),1)</definedName>
    <definedName name="seriya_DF">Лист1!$C$26:$C$30</definedName>
    <definedName name="seriya_DL">Лист1!$C$13:$C$23</definedName>
    <definedName name="seriya_FR">Лист1!$C$33:$C$34</definedName>
    <definedName name="seriya3">Лист1!$C$37:$C$49</definedName>
    <definedName name="seriya4">Лист1!$C$52:$C$98</definedName>
    <definedName name="sides">OFFSET(Лист1!$CI$12,MATCH(form!$L1,Лист1!$CI:$CI,0)-12,1,COUNTIF(Лист1!$CI:$CI,form!$L1),1)</definedName>
    <definedName name="type">OFFSET(Лист1!$AY$12,MATCH(form!$A1,Лист1!$AY:$AY,0)-12,1,COUNTIF(Лист1!$AY:$AY,form!$A1),1)</definedName>
    <definedName name="type_2">OFFSET(Лист1!$BC$12,MATCH(form!$E1,Лист1!$BC:$BC,0)-12,1,COUNTIF(Лист1!$BC:$BC,form!$E1),1)</definedName>
    <definedName name="vat_yesno">form!$X$4:$X$5</definedName>
    <definedName name="vent">OFFSET(Лист1!$CE$12,MATCH(form!$Y1,Лист1!$CE:$CE,0)-12,1,COUNTIF(Лист1!$CE:$CE,form!$Y1),1)</definedName>
    <definedName name="_xlnm.Print_Area" localSheetId="0">form!$A$1:$U$99</definedName>
  </definedNames>
  <calcPr calcId="162913"/>
</workbook>
</file>

<file path=xl/calcChain.xml><?xml version="1.0" encoding="utf-8"?>
<calcChain xmlns="http://schemas.openxmlformats.org/spreadsheetml/2006/main">
  <c r="BQ22" i="4" l="1"/>
  <c r="BQ14" i="4"/>
  <c r="BQ19" i="4"/>
  <c r="BQ27" i="4"/>
  <c r="BQ26" i="4"/>
  <c r="BQ23" i="4"/>
  <c r="BQ24" i="4"/>
  <c r="BQ21" i="4"/>
  <c r="BQ20" i="4"/>
  <c r="BI17" i="4"/>
  <c r="CO76" i="4"/>
  <c r="CO75" i="4"/>
  <c r="CO74" i="4"/>
  <c r="CO73" i="4"/>
  <c r="CO72" i="4"/>
  <c r="CG109" i="4"/>
  <c r="CG108" i="4"/>
  <c r="CG107" i="4"/>
  <c r="CG106" i="4"/>
  <c r="CG105" i="4"/>
  <c r="CG104" i="4"/>
  <c r="CG103" i="4"/>
  <c r="CG102" i="4"/>
  <c r="CC143" i="4"/>
  <c r="CC142" i="4"/>
  <c r="CC141" i="4"/>
  <c r="CC140" i="4"/>
  <c r="CC139" i="4"/>
  <c r="CC138" i="4"/>
  <c r="CC137" i="4"/>
  <c r="CC135" i="4"/>
  <c r="CC134" i="4"/>
  <c r="CC133" i="4"/>
  <c r="BY117" i="4"/>
  <c r="BY116" i="4"/>
  <c r="BY115" i="4"/>
  <c r="BY22" i="4"/>
  <c r="BY23" i="4"/>
  <c r="BY27" i="4"/>
  <c r="BU89" i="4"/>
  <c r="BU88" i="4"/>
  <c r="BM33" i="4"/>
  <c r="BM32" i="4"/>
  <c r="BA157" i="4"/>
  <c r="BA156" i="4"/>
  <c r="BA155" i="4"/>
  <c r="BA154" i="4"/>
  <c r="AW79" i="4"/>
  <c r="AW78" i="4"/>
  <c r="AN74" i="1"/>
  <c r="AS74" i="1"/>
  <c r="BA238" i="4"/>
  <c r="BI50" i="4"/>
  <c r="BE37" i="4"/>
  <c r="AS75" i="1"/>
  <c r="CW15" i="4"/>
  <c r="CW14" i="4"/>
  <c r="BM49" i="4"/>
  <c r="BM48" i="4"/>
  <c r="BA232" i="4"/>
  <c r="CO68" i="4"/>
  <c r="CO62" i="4"/>
  <c r="CO56" i="4"/>
  <c r="CO50" i="4"/>
  <c r="CO44" i="4"/>
  <c r="CO38" i="4"/>
  <c r="CO32" i="4"/>
  <c r="CO26" i="4"/>
  <c r="CO20" i="4"/>
  <c r="CO14" i="4"/>
  <c r="BA216" i="4"/>
  <c r="BA215" i="4"/>
  <c r="BA214" i="4"/>
  <c r="BA213" i="4"/>
  <c r="BA212" i="4"/>
  <c r="BA211" i="4"/>
  <c r="BA210" i="4"/>
  <c r="BA209" i="4"/>
  <c r="BA208" i="4"/>
  <c r="BA207" i="4"/>
  <c r="BA206" i="4"/>
  <c r="BA205" i="4"/>
  <c r="BA204" i="4"/>
  <c r="BA203" i="4"/>
  <c r="BA202" i="4"/>
  <c r="BA201" i="4"/>
  <c r="BA200" i="4"/>
  <c r="BA199" i="4"/>
  <c r="BA198" i="4"/>
  <c r="BA197" i="4"/>
  <c r="CC162" i="4"/>
  <c r="CC161" i="4"/>
  <c r="CC160" i="4"/>
  <c r="CC159" i="4"/>
  <c r="CC158" i="4"/>
  <c r="CC157" i="4"/>
  <c r="CW19" i="4"/>
  <c r="CS32" i="4"/>
  <c r="CS31" i="4"/>
  <c r="CS30" i="4"/>
  <c r="CS29" i="4"/>
  <c r="CS28" i="4"/>
  <c r="CS27" i="4"/>
  <c r="CS26" i="4"/>
  <c r="CS25" i="4"/>
  <c r="CS24" i="4"/>
  <c r="CS23" i="4"/>
  <c r="BM40" i="4"/>
  <c r="BM39" i="4"/>
  <c r="AW101" i="4"/>
  <c r="AW100" i="4"/>
  <c r="AW99" i="4"/>
  <c r="AW98" i="4"/>
  <c r="AW97" i="4"/>
  <c r="AW96" i="4"/>
  <c r="AW95" i="4"/>
  <c r="AW94" i="4"/>
  <c r="AW93" i="4"/>
  <c r="AW92" i="4"/>
  <c r="BY101" i="4"/>
  <c r="BY99" i="4"/>
  <c r="BY95" i="4"/>
  <c r="BY93" i="4"/>
  <c r="BY91" i="4"/>
  <c r="BY89" i="4"/>
  <c r="BY87" i="4"/>
  <c r="BY85" i="4"/>
  <c r="BY83" i="4"/>
  <c r="BY81" i="4"/>
  <c r="BY79" i="4"/>
  <c r="BY53" i="4"/>
  <c r="BY51" i="4"/>
  <c r="BY49" i="4"/>
  <c r="BY47" i="4"/>
  <c r="BY45" i="4"/>
  <c r="BY43" i="4"/>
  <c r="BY41" i="4"/>
  <c r="BY39" i="4"/>
  <c r="BY37" i="4"/>
  <c r="BY35" i="4"/>
  <c r="BY33" i="4"/>
  <c r="BY31" i="4"/>
  <c r="K7" i="4"/>
  <c r="BM65" i="4"/>
  <c r="BM63" i="4"/>
  <c r="BM61" i="4"/>
  <c r="BM59" i="4"/>
  <c r="BM57" i="4"/>
  <c r="BM55" i="4"/>
  <c r="BM53" i="4"/>
  <c r="BM51" i="4"/>
  <c r="BM47" i="4"/>
  <c r="BM44" i="4"/>
  <c r="BM42" i="4"/>
  <c r="BM38" i="4"/>
  <c r="BM36" i="4"/>
  <c r="BM31" i="4"/>
  <c r="BM29" i="4"/>
  <c r="BM27" i="4"/>
  <c r="BM25" i="4"/>
  <c r="BM23" i="4"/>
  <c r="BM21" i="4"/>
  <c r="BM19" i="4"/>
  <c r="BM17" i="4"/>
  <c r="BM15" i="4"/>
  <c r="BM13" i="4"/>
  <c r="CC123" i="4"/>
  <c r="CC125" i="4"/>
  <c r="CC126" i="4"/>
  <c r="CC111" i="4"/>
  <c r="CC113" i="4"/>
  <c r="CC114" i="4"/>
  <c r="CC99" i="4"/>
  <c r="CC101" i="4"/>
  <c r="CC102" i="4"/>
  <c r="CC87" i="4"/>
  <c r="CC89" i="4"/>
  <c r="CC90" i="4"/>
  <c r="CC75" i="4"/>
  <c r="CC77" i="4"/>
  <c r="CC78" i="4"/>
  <c r="CC63" i="4"/>
  <c r="CC65" i="4"/>
  <c r="CC66" i="4"/>
  <c r="CC51" i="4"/>
  <c r="CC53" i="4"/>
  <c r="CC54" i="4"/>
  <c r="CC39" i="4"/>
  <c r="CC41" i="4"/>
  <c r="CC42" i="4"/>
  <c r="CC27" i="4"/>
  <c r="CC29" i="4"/>
  <c r="CC30" i="4"/>
  <c r="CC14" i="4"/>
  <c r="CC16" i="4"/>
  <c r="CC17" i="4"/>
  <c r="E4" i="7"/>
  <c r="O5" i="1"/>
  <c r="D1" i="5"/>
  <c r="D2" i="5"/>
  <c r="DE3" i="4"/>
  <c r="DE10" i="4"/>
  <c r="R105" i="5"/>
  <c r="BQ18" i="4"/>
  <c r="BQ17" i="4"/>
  <c r="AN31" i="1"/>
  <c r="AI31" i="1"/>
  <c r="CO70" i="4"/>
  <c r="CO69" i="4"/>
  <c r="CO67" i="4"/>
  <c r="CO66" i="4"/>
  <c r="CO64" i="4"/>
  <c r="CO63" i="4"/>
  <c r="CO61" i="4"/>
  <c r="CO60" i="4"/>
  <c r="CO58" i="4"/>
  <c r="CO57" i="4"/>
  <c r="CO55" i="4"/>
  <c r="CO54" i="4"/>
  <c r="CO52" i="4"/>
  <c r="CO51" i="4"/>
  <c r="CO49" i="4"/>
  <c r="CO48" i="4"/>
  <c r="CO46" i="4"/>
  <c r="CO45" i="4"/>
  <c r="CO43" i="4"/>
  <c r="CO42" i="4"/>
  <c r="CO40" i="4"/>
  <c r="CO39" i="4"/>
  <c r="CO37" i="4"/>
  <c r="CO36" i="4"/>
  <c r="CO34" i="4"/>
  <c r="CO33" i="4"/>
  <c r="CO31" i="4"/>
  <c r="CO30" i="4"/>
  <c r="CO28" i="4"/>
  <c r="CO27" i="4"/>
  <c r="CO25" i="4"/>
  <c r="CO24" i="4"/>
  <c r="CO22" i="4"/>
  <c r="CO21" i="4"/>
  <c r="CO19" i="4"/>
  <c r="CO18" i="4"/>
  <c r="CG100" i="4"/>
  <c r="CG99" i="4"/>
  <c r="CG98" i="4"/>
  <c r="CG97" i="4"/>
  <c r="CG96" i="4"/>
  <c r="CG95" i="4"/>
  <c r="CG94" i="4"/>
  <c r="CG93" i="4"/>
  <c r="CG91" i="4"/>
  <c r="CG90" i="4"/>
  <c r="CG89" i="4"/>
  <c r="CG88" i="4"/>
  <c r="CG87" i="4"/>
  <c r="CG86" i="4"/>
  <c r="CG85" i="4"/>
  <c r="CG84" i="4"/>
  <c r="CG82" i="4"/>
  <c r="CG81" i="4"/>
  <c r="CG80" i="4"/>
  <c r="CG79" i="4"/>
  <c r="CG78" i="4"/>
  <c r="CG77" i="4"/>
  <c r="CG76" i="4"/>
  <c r="CG75" i="4"/>
  <c r="CG73" i="4"/>
  <c r="CG72" i="4"/>
  <c r="CG71" i="4"/>
  <c r="CG70" i="4"/>
  <c r="CG69" i="4"/>
  <c r="CG68" i="4"/>
  <c r="CG67" i="4"/>
  <c r="CG66" i="4"/>
  <c r="CG64" i="4"/>
  <c r="CG63" i="4"/>
  <c r="CG62" i="4"/>
  <c r="CG61" i="4"/>
  <c r="CG60" i="4"/>
  <c r="CG59" i="4"/>
  <c r="CG58" i="4"/>
  <c r="CG57" i="4"/>
  <c r="CG55" i="4"/>
  <c r="CG54" i="4"/>
  <c r="CG53" i="4"/>
  <c r="CG52" i="4"/>
  <c r="CG51" i="4"/>
  <c r="CG50" i="4"/>
  <c r="CG49" i="4"/>
  <c r="CG48" i="4"/>
  <c r="CG46" i="4"/>
  <c r="CG45" i="4"/>
  <c r="CG44" i="4"/>
  <c r="CG43" i="4"/>
  <c r="CG42" i="4"/>
  <c r="CG41" i="4"/>
  <c r="CG40" i="4"/>
  <c r="CG39" i="4"/>
  <c r="CG37" i="4"/>
  <c r="CG36" i="4"/>
  <c r="CG35" i="4"/>
  <c r="CG34" i="4"/>
  <c r="CG33" i="4"/>
  <c r="CG32" i="4"/>
  <c r="CG31" i="4"/>
  <c r="CG30" i="4"/>
  <c r="CG28" i="4"/>
  <c r="CG27" i="4"/>
  <c r="CG26" i="4"/>
  <c r="CG25" i="4"/>
  <c r="CG24" i="4"/>
  <c r="CG23" i="4"/>
  <c r="CG22" i="4"/>
  <c r="CG21" i="4"/>
  <c r="CC131" i="4"/>
  <c r="CC130" i="4"/>
  <c r="CC129" i="4"/>
  <c r="CC128" i="4"/>
  <c r="CC127" i="4"/>
  <c r="CC122" i="4"/>
  <c r="CC121" i="4"/>
  <c r="CC119" i="4"/>
  <c r="CC118" i="4"/>
  <c r="CC117" i="4"/>
  <c r="CC116" i="4"/>
  <c r="CC115" i="4"/>
  <c r="CC110" i="4"/>
  <c r="CC109" i="4"/>
  <c r="CC107" i="4"/>
  <c r="CC106" i="4"/>
  <c r="CC105" i="4"/>
  <c r="CC104" i="4"/>
  <c r="CC103" i="4"/>
  <c r="CC98" i="4"/>
  <c r="CC97" i="4"/>
  <c r="CC95" i="4"/>
  <c r="CC94" i="4"/>
  <c r="CC93" i="4"/>
  <c r="CC92" i="4"/>
  <c r="CC91" i="4"/>
  <c r="CC86" i="4"/>
  <c r="CC85" i="4"/>
  <c r="CC83" i="4"/>
  <c r="CC82" i="4"/>
  <c r="CC81" i="4"/>
  <c r="CC80" i="4"/>
  <c r="CC79" i="4"/>
  <c r="CC74" i="4"/>
  <c r="CC73" i="4"/>
  <c r="CC71" i="4"/>
  <c r="CC70" i="4"/>
  <c r="CC69" i="4"/>
  <c r="CC68" i="4"/>
  <c r="CC67" i="4"/>
  <c r="CC62" i="4"/>
  <c r="CC61" i="4"/>
  <c r="CC59" i="4"/>
  <c r="CC58" i="4"/>
  <c r="CC57" i="4"/>
  <c r="CC56" i="4"/>
  <c r="CC55" i="4"/>
  <c r="CC50" i="4"/>
  <c r="CC49" i="4"/>
  <c r="CC47" i="4"/>
  <c r="CC46" i="4"/>
  <c r="CC45" i="4"/>
  <c r="CC44" i="4"/>
  <c r="CC43" i="4"/>
  <c r="CC38" i="4"/>
  <c r="CC37" i="4"/>
  <c r="CC35" i="4"/>
  <c r="CC34" i="4"/>
  <c r="CC33" i="4"/>
  <c r="CC32" i="4"/>
  <c r="CC31" i="4"/>
  <c r="CC26" i="4"/>
  <c r="CC25" i="4"/>
  <c r="BY140" i="4"/>
  <c r="BY139" i="4"/>
  <c r="BY138" i="4"/>
  <c r="BY137" i="4"/>
  <c r="BY136" i="4"/>
  <c r="BY135" i="4"/>
  <c r="BY134" i="4"/>
  <c r="BY133" i="4"/>
  <c r="BY132" i="4"/>
  <c r="BY131" i="4"/>
  <c r="BY130" i="4"/>
  <c r="BY129" i="4"/>
  <c r="BY128" i="4"/>
  <c r="BY127" i="4"/>
  <c r="BY126" i="4"/>
  <c r="BY125" i="4"/>
  <c r="BY124" i="4"/>
  <c r="BY123" i="4"/>
  <c r="BY122" i="4"/>
  <c r="BY121" i="4"/>
  <c r="BY113" i="4"/>
  <c r="BY112" i="4"/>
  <c r="BY111" i="4"/>
  <c r="BY110" i="4"/>
  <c r="BY109" i="4"/>
  <c r="BY108" i="4"/>
  <c r="BY107" i="4"/>
  <c r="BY105" i="4"/>
  <c r="BY104" i="4"/>
  <c r="BY103" i="4"/>
  <c r="BY100" i="4"/>
  <c r="BY98" i="4"/>
  <c r="BY97" i="4"/>
  <c r="BY94" i="4"/>
  <c r="BY92" i="4"/>
  <c r="BY90" i="4"/>
  <c r="BY88" i="4"/>
  <c r="BY86" i="4"/>
  <c r="BY84" i="4"/>
  <c r="BY82" i="4"/>
  <c r="BY80" i="4"/>
  <c r="BY78" i="4"/>
  <c r="BY77" i="4"/>
  <c r="BY75" i="4"/>
  <c r="BY74" i="4"/>
  <c r="BY73" i="4"/>
  <c r="BY72" i="4"/>
  <c r="BY71" i="4"/>
  <c r="BY70" i="4"/>
  <c r="BY69" i="4"/>
  <c r="BY68" i="4"/>
  <c r="BY67" i="4"/>
  <c r="BY66" i="4"/>
  <c r="BY64" i="4"/>
  <c r="BY63" i="4"/>
  <c r="BY62" i="4"/>
  <c r="BY61" i="4"/>
  <c r="BY60" i="4"/>
  <c r="BY59" i="4"/>
  <c r="BY58" i="4"/>
  <c r="BY57" i="4"/>
  <c r="BY56" i="4"/>
  <c r="BY55" i="4"/>
  <c r="BY52" i="4"/>
  <c r="BY50" i="4"/>
  <c r="BY48" i="4"/>
  <c r="BY46" i="4"/>
  <c r="BY44" i="4"/>
  <c r="BY42" i="4"/>
  <c r="BY40" i="4"/>
  <c r="BY38" i="4"/>
  <c r="BY36" i="4"/>
  <c r="BY34" i="4"/>
  <c r="BY32" i="4"/>
  <c r="BY30" i="4"/>
  <c r="BY29" i="4"/>
  <c r="BY26" i="4"/>
  <c r="BY25" i="4"/>
  <c r="BY21" i="4"/>
  <c r="BY20" i="4"/>
  <c r="BY18" i="4"/>
  <c r="BY17" i="4"/>
  <c r="BY16" i="4"/>
  <c r="BY15" i="4"/>
  <c r="BY14" i="4"/>
  <c r="BY13" i="4"/>
  <c r="BY12" i="4"/>
  <c r="BU86" i="4"/>
  <c r="BU85" i="4"/>
  <c r="BU84" i="4"/>
  <c r="BU83" i="4"/>
  <c r="BU82" i="4"/>
  <c r="BU81" i="4"/>
  <c r="BU80" i="4"/>
  <c r="BU78" i="4"/>
  <c r="BU77" i="4"/>
  <c r="BU75" i="4"/>
  <c r="BU74" i="4"/>
  <c r="BU73" i="4"/>
  <c r="BU71" i="4"/>
  <c r="BU70" i="4"/>
  <c r="BU69" i="4"/>
  <c r="BU68" i="4"/>
  <c r="BU67" i="4"/>
  <c r="BU66" i="4"/>
  <c r="BU65" i="4"/>
  <c r="BU64" i="4"/>
  <c r="BU63" i="4"/>
  <c r="BU62" i="4"/>
  <c r="BU60" i="4"/>
  <c r="BU59" i="4"/>
  <c r="BU58" i="4"/>
  <c r="BU57" i="4"/>
  <c r="BU56" i="4"/>
  <c r="BU55" i="4"/>
  <c r="BU54" i="4"/>
  <c r="BU53" i="4"/>
  <c r="BU52" i="4"/>
  <c r="BU51" i="4"/>
  <c r="BU49" i="4"/>
  <c r="BU48" i="4"/>
  <c r="BU47" i="4"/>
  <c r="BU46" i="4"/>
  <c r="BU45" i="4"/>
  <c r="BU44" i="4"/>
  <c r="BU43" i="4"/>
  <c r="BU42" i="4"/>
  <c r="BU41" i="4"/>
  <c r="BU40" i="4"/>
  <c r="BU38" i="4"/>
  <c r="BU37" i="4"/>
  <c r="BU36" i="4"/>
  <c r="BU35" i="4"/>
  <c r="BU34" i="4"/>
  <c r="BU33" i="4"/>
  <c r="BU32" i="4"/>
  <c r="BU31" i="4"/>
  <c r="BU30" i="4"/>
  <c r="BU29" i="4"/>
  <c r="BU28" i="4"/>
  <c r="BU27" i="4"/>
  <c r="BU26" i="4"/>
  <c r="BU24" i="4"/>
  <c r="BU23" i="4"/>
  <c r="BU21" i="4"/>
  <c r="BU20" i="4"/>
  <c r="BU18" i="4"/>
  <c r="BU17" i="4"/>
  <c r="BU16" i="4"/>
  <c r="BU15" i="4"/>
  <c r="BU14" i="4"/>
  <c r="BU13" i="4"/>
  <c r="BU12" i="4"/>
  <c r="BM64" i="4"/>
  <c r="BM62" i="4"/>
  <c r="BM60" i="4"/>
  <c r="BM58" i="4"/>
  <c r="BM56" i="4"/>
  <c r="BM54" i="4"/>
  <c r="BM52" i="4"/>
  <c r="BM50" i="4"/>
  <c r="BM46" i="4"/>
  <c r="BM43" i="4"/>
  <c r="BM41" i="4"/>
  <c r="BM37" i="4"/>
  <c r="BM35" i="4"/>
  <c r="BM30" i="4"/>
  <c r="BM28" i="4"/>
  <c r="BM26" i="4"/>
  <c r="BM24" i="4"/>
  <c r="BM22" i="4"/>
  <c r="BM20" i="4"/>
  <c r="BM18" i="4"/>
  <c r="BM16" i="4"/>
  <c r="BM14" i="4"/>
  <c r="BM12" i="4"/>
  <c r="BA243" i="4"/>
  <c r="BA242" i="4"/>
  <c r="BA241" i="4"/>
  <c r="BA174" i="4"/>
  <c r="BA239" i="4"/>
  <c r="BA236" i="4"/>
  <c r="BA235" i="4"/>
  <c r="BA234" i="4"/>
  <c r="BA231" i="4"/>
  <c r="BA229" i="4"/>
  <c r="BA228" i="4"/>
  <c r="BA227" i="4"/>
  <c r="BA226" i="4"/>
  <c r="BA225" i="4"/>
  <c r="BA224" i="4"/>
  <c r="BA223" i="4"/>
  <c r="BA222" i="4"/>
  <c r="BA221" i="4"/>
  <c r="BA220" i="4"/>
  <c r="BA218" i="4"/>
  <c r="BA195" i="4"/>
  <c r="BA194" i="4"/>
  <c r="BA193" i="4"/>
  <c r="BA192" i="4"/>
  <c r="BA191" i="4"/>
  <c r="BA190" i="4"/>
  <c r="BA189" i="4"/>
  <c r="BA188" i="4"/>
  <c r="BA187" i="4"/>
  <c r="BA186" i="4"/>
  <c r="BA185" i="4"/>
  <c r="BA184" i="4"/>
  <c r="BA183" i="4"/>
  <c r="BA182" i="4"/>
  <c r="BA181" i="4"/>
  <c r="BA180" i="4"/>
  <c r="BA179" i="4"/>
  <c r="BA178" i="4"/>
  <c r="BA177" i="4"/>
  <c r="BA176" i="4"/>
  <c r="BA152" i="4"/>
  <c r="BA151" i="4"/>
  <c r="BA150" i="4"/>
  <c r="BA149" i="4"/>
  <c r="BA148" i="4"/>
  <c r="BA147" i="4"/>
  <c r="BA146" i="4"/>
  <c r="BA145" i="4"/>
  <c r="BA144" i="4"/>
  <c r="BA143" i="4"/>
  <c r="BA142" i="4"/>
  <c r="BA141" i="4"/>
  <c r="BA140" i="4"/>
  <c r="BA139" i="4"/>
  <c r="BA137" i="4"/>
  <c r="BA136" i="4"/>
  <c r="BA135" i="4"/>
  <c r="BA134" i="4"/>
  <c r="BA132" i="4"/>
  <c r="BA131" i="4"/>
  <c r="BA130" i="4"/>
  <c r="BA129" i="4"/>
  <c r="BA128" i="4"/>
  <c r="BA127" i="4"/>
  <c r="BA125" i="4"/>
  <c r="BA124" i="4"/>
  <c r="BA123" i="4"/>
  <c r="BA122" i="4"/>
  <c r="BA121" i="4"/>
  <c r="BA120" i="4"/>
  <c r="BA119" i="4"/>
  <c r="BA118" i="4"/>
  <c r="BA117" i="4"/>
  <c r="BA116" i="4"/>
  <c r="BA115" i="4"/>
  <c r="BA114" i="4"/>
  <c r="BA113" i="4"/>
  <c r="BA112" i="4"/>
  <c r="BA111" i="4"/>
  <c r="BA110" i="4"/>
  <c r="BA109" i="4"/>
  <c r="BA108" i="4"/>
  <c r="BA107" i="4"/>
  <c r="BA106" i="4"/>
  <c r="BA104" i="4"/>
  <c r="BA103" i="4"/>
  <c r="BA102" i="4"/>
  <c r="BA101" i="4"/>
  <c r="BA100" i="4"/>
  <c r="BA99" i="4"/>
  <c r="BA98" i="4"/>
  <c r="BA97" i="4"/>
  <c r="BA96" i="4"/>
  <c r="BA95" i="4"/>
  <c r="BA94" i="4"/>
  <c r="BA93" i="4"/>
  <c r="BA92" i="4"/>
  <c r="BA91" i="4"/>
  <c r="BA90" i="4"/>
  <c r="BA89" i="4"/>
  <c r="BA88" i="4"/>
  <c r="BA87" i="4"/>
  <c r="BA86" i="4"/>
  <c r="BA85" i="4"/>
  <c r="BA83" i="4"/>
  <c r="BA82" i="4"/>
  <c r="BA81" i="4"/>
  <c r="BA80" i="4"/>
  <c r="BA79" i="4"/>
  <c r="BA78" i="4"/>
  <c r="BA77" i="4"/>
  <c r="BA76" i="4"/>
  <c r="BA75" i="4"/>
  <c r="BA74" i="4"/>
  <c r="BA73" i="4"/>
  <c r="BA72" i="4"/>
  <c r="BA71" i="4"/>
  <c r="BA70" i="4"/>
  <c r="BA69" i="4"/>
  <c r="BA68" i="4"/>
  <c r="BA67" i="4"/>
  <c r="BA66" i="4"/>
  <c r="BA65" i="4"/>
  <c r="BA64" i="4"/>
  <c r="BA62" i="4"/>
  <c r="BA61" i="4"/>
  <c r="BA60" i="4"/>
  <c r="BA59" i="4"/>
  <c r="BA58" i="4"/>
  <c r="BA57" i="4"/>
  <c r="BA56" i="4"/>
  <c r="BA55" i="4"/>
  <c r="BA54" i="4"/>
  <c r="BA53" i="4"/>
  <c r="BA52" i="4"/>
  <c r="BA51" i="4"/>
  <c r="BA50" i="4"/>
  <c r="BA49" i="4"/>
  <c r="BA48" i="4"/>
  <c r="BA47" i="4"/>
  <c r="BA46" i="4"/>
  <c r="BA45" i="4"/>
  <c r="BA44" i="4"/>
  <c r="BA43" i="4"/>
  <c r="BA42" i="4"/>
  <c r="BA41" i="4"/>
  <c r="BA40" i="4"/>
  <c r="BA39" i="4"/>
  <c r="BA38" i="4"/>
  <c r="BA37" i="4"/>
  <c r="BA35" i="4"/>
  <c r="BA34" i="4"/>
  <c r="BA33" i="4"/>
  <c r="BA32" i="4"/>
  <c r="BA30" i="4"/>
  <c r="BA29" i="4"/>
  <c r="BA28" i="4"/>
  <c r="BA27" i="4"/>
  <c r="BA25" i="4"/>
  <c r="BA24" i="4"/>
  <c r="BA23" i="4"/>
  <c r="BA22" i="4"/>
  <c r="BA21" i="4"/>
  <c r="BA20" i="4"/>
  <c r="BA19" i="4"/>
  <c r="BA18" i="4"/>
  <c r="BA17" i="4"/>
  <c r="BA16" i="4"/>
  <c r="BA15" i="4"/>
  <c r="BA14" i="4"/>
  <c r="BA13" i="4"/>
  <c r="BA12" i="4"/>
  <c r="E4" i="10"/>
  <c r="E4" i="9"/>
  <c r="AH85" i="5"/>
  <c r="AH84" i="5"/>
  <c r="AH83" i="5"/>
  <c r="AH82" i="5"/>
  <c r="AH81" i="5"/>
  <c r="AH80" i="5"/>
  <c r="AH79" i="5"/>
  <c r="AH78" i="5"/>
  <c r="AH77" i="5"/>
  <c r="AH76" i="5"/>
  <c r="AH75" i="5"/>
  <c r="AH74" i="5"/>
  <c r="AH73" i="5"/>
  <c r="AH72" i="5"/>
  <c r="Y85" i="5"/>
  <c r="Y84" i="5"/>
  <c r="Y83" i="5"/>
  <c r="Y82" i="5"/>
  <c r="Y81" i="5"/>
  <c r="Y80" i="5"/>
  <c r="Y79" i="5"/>
  <c r="Y78" i="5"/>
  <c r="Y77" i="5"/>
  <c r="Y76" i="5"/>
  <c r="Y75" i="5"/>
  <c r="Y74" i="5"/>
  <c r="Y73" i="5"/>
  <c r="Y72" i="5"/>
  <c r="AH71" i="5"/>
  <c r="Y71" i="5"/>
  <c r="AH69" i="5"/>
  <c r="AH68" i="5"/>
  <c r="AH67" i="5"/>
  <c r="AH66" i="5"/>
  <c r="AH65" i="5"/>
  <c r="AH64" i="5"/>
  <c r="AH63" i="5"/>
  <c r="AH62" i="5"/>
  <c r="AH61" i="5"/>
  <c r="AH60" i="5"/>
  <c r="AH59" i="5"/>
  <c r="AH58" i="5"/>
  <c r="AH57" i="5"/>
  <c r="AH56" i="5"/>
  <c r="AH55" i="5"/>
  <c r="AH51" i="5"/>
  <c r="AH48" i="5"/>
  <c r="AH45" i="5"/>
  <c r="AH42" i="5"/>
  <c r="AH39" i="5"/>
  <c r="AH36" i="5"/>
  <c r="AH33" i="5"/>
  <c r="AH30" i="5"/>
  <c r="AH27" i="5"/>
  <c r="AH24" i="5"/>
  <c r="AH21" i="5"/>
  <c r="AH18" i="5"/>
  <c r="AH15" i="5"/>
  <c r="AH12" i="5"/>
  <c r="AH9" i="5"/>
  <c r="Y69" i="5"/>
  <c r="Y68" i="5"/>
  <c r="Y67" i="5"/>
  <c r="Y66" i="5"/>
  <c r="Y65" i="5"/>
  <c r="Y64" i="5"/>
  <c r="Y63" i="5"/>
  <c r="Y62" i="5"/>
  <c r="Y61" i="5"/>
  <c r="Y60" i="5"/>
  <c r="Y59" i="5"/>
  <c r="Y58" i="5"/>
  <c r="Y57" i="5"/>
  <c r="Y56" i="5"/>
  <c r="Y55" i="5"/>
  <c r="Y51" i="5"/>
  <c r="Y48" i="5"/>
  <c r="Y45" i="5"/>
  <c r="Y42" i="5"/>
  <c r="Y39" i="5"/>
  <c r="Y36" i="5"/>
  <c r="Y33" i="5"/>
  <c r="Y30" i="5"/>
  <c r="Y27" i="5"/>
  <c r="Y24" i="5"/>
  <c r="Y21" i="5"/>
  <c r="Y18" i="5"/>
  <c r="Y15" i="5"/>
  <c r="Y12" i="5"/>
  <c r="Y9" i="5"/>
  <c r="AG85" i="5"/>
  <c r="AG84" i="5"/>
  <c r="AG83" i="5"/>
  <c r="AG82" i="5"/>
  <c r="AG81" i="5"/>
  <c r="AG80" i="5"/>
  <c r="AG79" i="5"/>
  <c r="AG78" i="5"/>
  <c r="AG77" i="5"/>
  <c r="AG76" i="5"/>
  <c r="AG75" i="5"/>
  <c r="AG74" i="5"/>
  <c r="AG73" i="5"/>
  <c r="AG72" i="5"/>
  <c r="AG71" i="5"/>
  <c r="X85" i="5"/>
  <c r="X84" i="5"/>
  <c r="X83" i="5"/>
  <c r="X82" i="5"/>
  <c r="X81" i="5"/>
  <c r="X80" i="5"/>
  <c r="X79" i="5"/>
  <c r="X78" i="5"/>
  <c r="X77" i="5"/>
  <c r="X76" i="5"/>
  <c r="X75" i="5"/>
  <c r="X74" i="5"/>
  <c r="X73" i="5"/>
  <c r="X72" i="5"/>
  <c r="X71" i="5"/>
  <c r="AG69" i="5"/>
  <c r="AG68" i="5"/>
  <c r="AG67" i="5"/>
  <c r="AG66" i="5"/>
  <c r="AG65" i="5"/>
  <c r="AG64" i="5"/>
  <c r="AG63" i="5"/>
  <c r="AG62" i="5"/>
  <c r="AG61" i="5"/>
  <c r="AG60" i="5"/>
  <c r="AG59" i="5"/>
  <c r="AG58" i="5"/>
  <c r="AG57" i="5"/>
  <c r="AG56" i="5"/>
  <c r="AG55" i="5"/>
  <c r="AG51" i="5"/>
  <c r="AG48" i="5"/>
  <c r="AG45" i="5"/>
  <c r="AG42" i="5"/>
  <c r="AG39" i="5"/>
  <c r="AG36" i="5"/>
  <c r="AG33" i="5"/>
  <c r="AG30" i="5"/>
  <c r="AG27" i="5"/>
  <c r="AG24" i="5"/>
  <c r="AG21" i="5"/>
  <c r="AG18" i="5"/>
  <c r="AG15" i="5"/>
  <c r="AG12" i="5"/>
  <c r="AG9" i="5"/>
  <c r="X69" i="5"/>
  <c r="X68" i="5"/>
  <c r="X67" i="5"/>
  <c r="X66" i="5"/>
  <c r="X65" i="5"/>
  <c r="X64" i="5"/>
  <c r="X63" i="5"/>
  <c r="X62" i="5"/>
  <c r="X61" i="5"/>
  <c r="X60" i="5"/>
  <c r="X59" i="5"/>
  <c r="X58" i="5"/>
  <c r="X57" i="5"/>
  <c r="X56" i="5"/>
  <c r="X55" i="5"/>
  <c r="X51" i="5"/>
  <c r="X48" i="5"/>
  <c r="X45" i="5"/>
  <c r="X42" i="5"/>
  <c r="X39" i="5"/>
  <c r="X36" i="5"/>
  <c r="X33" i="5"/>
  <c r="X30" i="5"/>
  <c r="X27" i="5"/>
  <c r="X24" i="5"/>
  <c r="X21" i="5"/>
  <c r="X18" i="5"/>
  <c r="X15" i="5"/>
  <c r="X12" i="5"/>
  <c r="X9" i="5"/>
  <c r="CG15" i="4"/>
  <c r="CG16" i="4"/>
  <c r="CG17" i="4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T58" i="5"/>
  <c r="CY13" i="1"/>
  <c r="DH13" i="1"/>
  <c r="CX13" i="1"/>
  <c r="AC85" i="5"/>
  <c r="AC84" i="5"/>
  <c r="AC83" i="5"/>
  <c r="AC82" i="5"/>
  <c r="AC81" i="5"/>
  <c r="AC80" i="5"/>
  <c r="AC79" i="5"/>
  <c r="AC78" i="5"/>
  <c r="AC77" i="5"/>
  <c r="AC76" i="5"/>
  <c r="AC75" i="5"/>
  <c r="AC74" i="5"/>
  <c r="AC73" i="5"/>
  <c r="AC72" i="5"/>
  <c r="AC71" i="5"/>
  <c r="T85" i="5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AC69" i="5"/>
  <c r="AC68" i="5"/>
  <c r="AC67" i="5"/>
  <c r="AC66" i="5"/>
  <c r="AC65" i="5"/>
  <c r="AC64" i="5"/>
  <c r="AC63" i="5"/>
  <c r="AC62" i="5"/>
  <c r="AC61" i="5"/>
  <c r="AC60" i="5"/>
  <c r="AC59" i="5"/>
  <c r="AC58" i="5"/>
  <c r="AC57" i="5"/>
  <c r="AC56" i="5"/>
  <c r="AC55" i="5"/>
  <c r="AC51" i="5"/>
  <c r="AC48" i="5"/>
  <c r="AC45" i="5"/>
  <c r="AC42" i="5"/>
  <c r="AC39" i="5"/>
  <c r="AC36" i="5"/>
  <c r="AC33" i="5"/>
  <c r="AC30" i="5"/>
  <c r="AC27" i="5"/>
  <c r="AC24" i="5"/>
  <c r="AC21" i="5"/>
  <c r="AC18" i="5"/>
  <c r="AC15" i="5"/>
  <c r="AC12" i="5"/>
  <c r="AC9" i="5"/>
  <c r="T69" i="5"/>
  <c r="T68" i="5"/>
  <c r="T67" i="5"/>
  <c r="T66" i="5"/>
  <c r="T65" i="5"/>
  <c r="T64" i="5"/>
  <c r="T63" i="5"/>
  <c r="T62" i="5"/>
  <c r="T61" i="5"/>
  <c r="T60" i="5"/>
  <c r="T59" i="5"/>
  <c r="T57" i="5"/>
  <c r="T56" i="5"/>
  <c r="T55" i="5"/>
  <c r="T51" i="5"/>
  <c r="T48" i="5"/>
  <c r="T45" i="5"/>
  <c r="T42" i="5"/>
  <c r="T39" i="5"/>
  <c r="T36" i="5"/>
  <c r="T33" i="5"/>
  <c r="T30" i="5"/>
  <c r="T27" i="5"/>
  <c r="T24" i="5"/>
  <c r="T21" i="5"/>
  <c r="T18" i="5"/>
  <c r="T9" i="5"/>
  <c r="T12" i="5"/>
  <c r="T15" i="5"/>
  <c r="DE25" i="1"/>
  <c r="J52" i="5"/>
  <c r="DE24" i="1"/>
  <c r="J49" i="5" s="1"/>
  <c r="DE23" i="1"/>
  <c r="J46" i="5"/>
  <c r="DE22" i="1"/>
  <c r="J43" i="5"/>
  <c r="E43" i="5" s="1"/>
  <c r="DE21" i="1"/>
  <c r="J40" i="5"/>
  <c r="DE20" i="1"/>
  <c r="J37" i="5" s="1"/>
  <c r="E37" i="5" s="1"/>
  <c r="DE19" i="1"/>
  <c r="J34" i="5"/>
  <c r="DE18" i="1"/>
  <c r="J31" i="5" s="1"/>
  <c r="DE17" i="1"/>
  <c r="J28" i="5"/>
  <c r="DE16" i="1"/>
  <c r="J25" i="5" s="1"/>
  <c r="DE15" i="1"/>
  <c r="J22" i="5"/>
  <c r="DE14" i="1"/>
  <c r="J19" i="5" s="1"/>
  <c r="DE13" i="1"/>
  <c r="J16" i="5" s="1"/>
  <c r="DE12" i="1"/>
  <c r="J13" i="5"/>
  <c r="G13" i="5" s="1"/>
  <c r="DE11" i="1"/>
  <c r="J10" i="5" s="1"/>
  <c r="CZ13" i="1"/>
  <c r="CW13" i="1"/>
  <c r="CV13" i="1"/>
  <c r="CO16" i="4"/>
  <c r="CO15" i="4"/>
  <c r="CO13" i="4"/>
  <c r="CO12" i="4"/>
  <c r="CG25" i="1"/>
  <c r="CG24" i="1"/>
  <c r="CG23" i="1"/>
  <c r="CG22" i="1"/>
  <c r="CG21" i="1"/>
  <c r="CG20" i="1"/>
  <c r="CG19" i="1"/>
  <c r="CG18" i="1"/>
  <c r="CG17" i="1"/>
  <c r="CG16" i="1"/>
  <c r="CG15" i="1"/>
  <c r="CG14" i="1"/>
  <c r="CG13" i="1"/>
  <c r="CG12" i="1"/>
  <c r="CG11" i="1"/>
  <c r="Z25" i="1"/>
  <c r="Z24" i="1"/>
  <c r="Z23" i="1"/>
  <c r="Z22" i="1"/>
  <c r="Z21" i="1"/>
  <c r="Z20" i="1"/>
  <c r="Z19" i="1"/>
  <c r="Z18" i="1"/>
  <c r="Z17" i="1"/>
  <c r="Z16" i="1"/>
  <c r="Z15" i="1"/>
  <c r="Z13" i="1"/>
  <c r="Z12" i="1"/>
  <c r="Z11" i="1"/>
  <c r="Z14" i="1"/>
  <c r="AD13" i="1"/>
  <c r="CV11" i="1"/>
  <c r="CG19" i="4"/>
  <c r="CG18" i="4"/>
  <c r="CG14" i="4"/>
  <c r="CG13" i="4"/>
  <c r="CG12" i="4"/>
  <c r="CC23" i="4"/>
  <c r="CC22" i="4"/>
  <c r="CC21" i="4"/>
  <c r="CC20" i="4"/>
  <c r="CC18" i="4"/>
  <c r="CC13" i="4"/>
  <c r="CC12" i="4"/>
  <c r="BE34" i="4"/>
  <c r="BE33" i="4"/>
  <c r="BI48" i="4"/>
  <c r="BI47" i="4"/>
  <c r="BE31" i="4"/>
  <c r="BE30" i="4"/>
  <c r="BI45" i="4"/>
  <c r="BI44" i="4"/>
  <c r="BI43" i="4"/>
  <c r="BI42" i="4"/>
  <c r="BE25" i="4"/>
  <c r="BI40" i="4"/>
  <c r="BI39" i="4"/>
  <c r="BI38" i="4"/>
  <c r="BI37" i="4"/>
  <c r="BI36" i="4"/>
  <c r="BI35" i="4"/>
  <c r="BI34" i="4"/>
  <c r="BI33" i="4"/>
  <c r="BI32" i="4"/>
  <c r="BI31" i="4"/>
  <c r="BI30" i="4"/>
  <c r="BI29" i="4"/>
  <c r="BI28" i="4"/>
  <c r="BI27" i="4"/>
  <c r="BE23" i="4"/>
  <c r="BE21" i="4"/>
  <c r="BE20" i="4"/>
  <c r="BE19" i="4"/>
  <c r="BI22" i="4"/>
  <c r="BI21" i="4"/>
  <c r="BI20" i="4"/>
  <c r="BI19" i="4"/>
  <c r="BI18" i="4"/>
  <c r="BI16" i="4"/>
  <c r="BI15" i="4"/>
  <c r="BI14" i="4"/>
  <c r="BI13" i="4"/>
  <c r="BI12" i="4"/>
  <c r="BE14" i="4"/>
  <c r="BE13" i="4"/>
  <c r="BE12" i="4"/>
  <c r="AW112" i="4"/>
  <c r="AW111" i="4"/>
  <c r="AW110" i="4"/>
  <c r="AW109" i="4"/>
  <c r="AW108" i="4"/>
  <c r="AW107" i="4"/>
  <c r="AW106" i="4"/>
  <c r="AW105" i="4"/>
  <c r="AW104" i="4"/>
  <c r="AW103" i="4"/>
  <c r="AW102" i="4"/>
  <c r="AW91" i="4"/>
  <c r="AW90" i="4"/>
  <c r="AW89" i="4"/>
  <c r="AW88" i="4"/>
  <c r="AW87" i="4"/>
  <c r="AW86" i="4"/>
  <c r="AW85" i="4"/>
  <c r="AW84" i="4"/>
  <c r="AW83" i="4"/>
  <c r="AW82" i="4"/>
  <c r="AW81" i="4"/>
  <c r="AW77" i="4"/>
  <c r="AW76" i="4"/>
  <c r="AW75" i="4"/>
  <c r="AW74" i="4"/>
  <c r="AW73" i="4"/>
  <c r="AW72" i="4"/>
  <c r="AW71" i="4"/>
  <c r="AW70" i="4"/>
  <c r="AW69" i="4"/>
  <c r="AW68" i="4"/>
  <c r="AW67" i="4"/>
  <c r="AW66" i="4"/>
  <c r="AW65" i="4"/>
  <c r="AW64" i="4"/>
  <c r="AW63" i="4"/>
  <c r="AW62" i="4"/>
  <c r="AW61" i="4"/>
  <c r="AW60" i="4"/>
  <c r="AW59" i="4"/>
  <c r="AW58" i="4"/>
  <c r="AW57" i="4"/>
  <c r="AW56" i="4"/>
  <c r="AW55" i="4"/>
  <c r="AW54" i="4"/>
  <c r="AW53" i="4"/>
  <c r="AW52" i="4"/>
  <c r="AW51" i="4"/>
  <c r="AW50" i="4"/>
  <c r="AW49" i="4"/>
  <c r="AW48" i="4"/>
  <c r="AW47" i="4"/>
  <c r="AW46" i="4"/>
  <c r="AW45" i="4"/>
  <c r="AW44" i="4"/>
  <c r="AW43" i="4"/>
  <c r="AW42" i="4"/>
  <c r="AW41" i="4"/>
  <c r="AW40" i="4"/>
  <c r="AW39" i="4"/>
  <c r="AW38" i="4"/>
  <c r="AW37" i="4"/>
  <c r="AW36" i="4"/>
  <c r="AW35" i="4"/>
  <c r="AW34" i="4"/>
  <c r="AW33" i="4"/>
  <c r="AW32" i="4"/>
  <c r="AW31" i="4"/>
  <c r="AW30" i="4"/>
  <c r="AW29" i="4"/>
  <c r="AW28" i="4"/>
  <c r="AW27" i="4"/>
  <c r="AW26" i="4"/>
  <c r="AW25" i="4"/>
  <c r="AW24" i="4"/>
  <c r="AW23" i="4"/>
  <c r="AW22" i="4"/>
  <c r="AW21" i="4"/>
  <c r="AW20" i="4"/>
  <c r="AW19" i="4"/>
  <c r="AW18" i="4"/>
  <c r="AW17" i="4"/>
  <c r="AW16" i="4"/>
  <c r="AW15" i="4"/>
  <c r="AW14" i="4"/>
  <c r="AW13" i="4"/>
  <c r="AW12" i="4"/>
  <c r="DD3" i="4"/>
  <c r="BQ33" i="4"/>
  <c r="BQ16" i="4"/>
  <c r="CS15" i="4"/>
  <c r="DG11" i="1"/>
  <c r="S11" i="5" s="1"/>
  <c r="Y74" i="1"/>
  <c r="AI74" i="1"/>
  <c r="AX74" i="1"/>
  <c r="BC74" i="1"/>
  <c r="Y75" i="1"/>
  <c r="AI75" i="1"/>
  <c r="AN75" i="1"/>
  <c r="AX75" i="1"/>
  <c r="BC75" i="1"/>
  <c r="Y76" i="1"/>
  <c r="AI76" i="1"/>
  <c r="AN76" i="1"/>
  <c r="AS76" i="1"/>
  <c r="AX76" i="1"/>
  <c r="BC76" i="1"/>
  <c r="Y77" i="1"/>
  <c r="AI77" i="1"/>
  <c r="AN77" i="1"/>
  <c r="AS77" i="1"/>
  <c r="AX77" i="1"/>
  <c r="BC77" i="1"/>
  <c r="Y78" i="1"/>
  <c r="AI78" i="1"/>
  <c r="AN78" i="1"/>
  <c r="AS78" i="1"/>
  <c r="AX78" i="1"/>
  <c r="BC78" i="1"/>
  <c r="Y79" i="1"/>
  <c r="AI79" i="1"/>
  <c r="AN79" i="1"/>
  <c r="AS79" i="1"/>
  <c r="AX79" i="1"/>
  <c r="BC79" i="1"/>
  <c r="Y80" i="1"/>
  <c r="AI80" i="1"/>
  <c r="AN80" i="1"/>
  <c r="AS80" i="1"/>
  <c r="AX80" i="1"/>
  <c r="BC80" i="1"/>
  <c r="X81" i="1"/>
  <c r="Y81" i="1"/>
  <c r="AI81" i="1"/>
  <c r="AN81" i="1"/>
  <c r="AS81" i="1"/>
  <c r="AX81" i="1"/>
  <c r="BC81" i="1"/>
  <c r="X82" i="1"/>
  <c r="Y82" i="1"/>
  <c r="AI82" i="1"/>
  <c r="AN82" i="1"/>
  <c r="AS82" i="1"/>
  <c r="AX82" i="1"/>
  <c r="BC82" i="1"/>
  <c r="Y73" i="1"/>
  <c r="AI73" i="1"/>
  <c r="DH25" i="1"/>
  <c r="DH24" i="1"/>
  <c r="DH23" i="1"/>
  <c r="DH22" i="1"/>
  <c r="DH21" i="1"/>
  <c r="DH20" i="1"/>
  <c r="DH19" i="1"/>
  <c r="DH18" i="1"/>
  <c r="DH17" i="1"/>
  <c r="DH16" i="1"/>
  <c r="DH15" i="1"/>
  <c r="DH12" i="1"/>
  <c r="DH11" i="1"/>
  <c r="DH14" i="1"/>
  <c r="CY25" i="1"/>
  <c r="CY24" i="1"/>
  <c r="CY23" i="1"/>
  <c r="CY22" i="1"/>
  <c r="CY21" i="1"/>
  <c r="CY20" i="1"/>
  <c r="CY19" i="1"/>
  <c r="CY18" i="1"/>
  <c r="CY17" i="1"/>
  <c r="CY16" i="1"/>
  <c r="CY15" i="1"/>
  <c r="CY12" i="1"/>
  <c r="CY11" i="1"/>
  <c r="CY14" i="1"/>
  <c r="EI10" i="4"/>
  <c r="EC10" i="4"/>
  <c r="DQ10" i="4"/>
  <c r="DK10" i="4"/>
  <c r="DW10" i="4"/>
  <c r="CK35" i="4"/>
  <c r="CK34" i="4"/>
  <c r="CK33" i="4"/>
  <c r="CK19" i="4"/>
  <c r="CK18" i="4"/>
  <c r="CK17" i="4"/>
  <c r="CK16" i="4"/>
  <c r="CK15" i="4"/>
  <c r="CK14" i="4"/>
  <c r="J112" i="5"/>
  <c r="J111" i="5"/>
  <c r="E111" i="5" s="1"/>
  <c r="J110" i="5"/>
  <c r="G110" i="5"/>
  <c r="E110" i="5"/>
  <c r="J109" i="5"/>
  <c r="E109" i="5"/>
  <c r="J108" i="5"/>
  <c r="E108" i="5" s="1"/>
  <c r="J107" i="5"/>
  <c r="E107" i="5"/>
  <c r="J106" i="5"/>
  <c r="E106" i="5"/>
  <c r="J105" i="5"/>
  <c r="E105" i="5" s="1"/>
  <c r="J104" i="5"/>
  <c r="G104" i="5"/>
  <c r="J103" i="5"/>
  <c r="G103" i="5"/>
  <c r="J102" i="5"/>
  <c r="G102" i="5" s="1"/>
  <c r="J101" i="5"/>
  <c r="G101" i="5" s="1"/>
  <c r="E101" i="5"/>
  <c r="J100" i="5"/>
  <c r="E100" i="5" s="1"/>
  <c r="J99" i="5"/>
  <c r="G99" i="5"/>
  <c r="J98" i="5"/>
  <c r="G98" i="5" s="1"/>
  <c r="J97" i="5"/>
  <c r="G97" i="5" s="1"/>
  <c r="J96" i="5"/>
  <c r="J95" i="5"/>
  <c r="G95" i="5"/>
  <c r="J94" i="5"/>
  <c r="G94" i="5"/>
  <c r="J93" i="5"/>
  <c r="J91" i="5"/>
  <c r="E91" i="5"/>
  <c r="J90" i="5"/>
  <c r="J89" i="5"/>
  <c r="E89" i="5" s="1"/>
  <c r="J88" i="5"/>
  <c r="E88" i="5"/>
  <c r="G88" i="5"/>
  <c r="AV88" i="5" s="1"/>
  <c r="AU88" i="5" s="1"/>
  <c r="J87" i="5"/>
  <c r="J86" i="5" s="1"/>
  <c r="G87" i="5"/>
  <c r="J85" i="5"/>
  <c r="G85" i="5" s="1"/>
  <c r="J84" i="5"/>
  <c r="E84" i="5"/>
  <c r="J83" i="5"/>
  <c r="G83" i="5"/>
  <c r="J82" i="5"/>
  <c r="E82" i="5" s="1"/>
  <c r="J81" i="5"/>
  <c r="E81" i="5" s="1"/>
  <c r="G81" i="5"/>
  <c r="L81" i="5" s="1"/>
  <c r="C81" i="5" s="1"/>
  <c r="J80" i="5"/>
  <c r="J79" i="5"/>
  <c r="E79" i="5" s="1"/>
  <c r="J78" i="5"/>
  <c r="G78" i="5"/>
  <c r="J77" i="5"/>
  <c r="E77" i="5"/>
  <c r="J76" i="5"/>
  <c r="E76" i="5" s="1"/>
  <c r="J75" i="5"/>
  <c r="J74" i="5"/>
  <c r="G74" i="5" s="1"/>
  <c r="R74" i="5"/>
  <c r="J73" i="5"/>
  <c r="E73" i="5"/>
  <c r="R73" i="5"/>
  <c r="J72" i="5"/>
  <c r="E72" i="5"/>
  <c r="J71" i="5"/>
  <c r="J69" i="5"/>
  <c r="E69" i="5"/>
  <c r="J68" i="5"/>
  <c r="E68" i="5" s="1"/>
  <c r="J67" i="5"/>
  <c r="G67" i="5"/>
  <c r="AV67" i="5" s="1"/>
  <c r="AU67" i="5" s="1"/>
  <c r="J66" i="5"/>
  <c r="E66" i="5" s="1"/>
  <c r="J65" i="5"/>
  <c r="E65" i="5"/>
  <c r="J64" i="5"/>
  <c r="G64" i="5"/>
  <c r="J63" i="5"/>
  <c r="G63" i="5" s="1"/>
  <c r="J62" i="5"/>
  <c r="G62" i="5"/>
  <c r="J61" i="5"/>
  <c r="G61" i="5"/>
  <c r="N61" i="5" s="1"/>
  <c r="F61" i="5" s="1"/>
  <c r="O61" i="5" s="1"/>
  <c r="H61" i="5" s="1"/>
  <c r="J60" i="5"/>
  <c r="G60" i="5"/>
  <c r="L60" i="5" s="1"/>
  <c r="C60" i="5" s="1"/>
  <c r="J59" i="5"/>
  <c r="G59" i="5"/>
  <c r="N59" i="5" s="1"/>
  <c r="F59" i="5" s="1"/>
  <c r="O59" i="5" s="1"/>
  <c r="H59" i="5" s="1"/>
  <c r="J58" i="5"/>
  <c r="J57" i="5"/>
  <c r="E57" i="5" s="1"/>
  <c r="R57" i="5"/>
  <c r="J56" i="5"/>
  <c r="G56" i="5"/>
  <c r="J55" i="5"/>
  <c r="DL25" i="1"/>
  <c r="J53" i="5" s="1"/>
  <c r="G53" i="5" s="1"/>
  <c r="J51" i="5"/>
  <c r="E51" i="5" s="1"/>
  <c r="DL24" i="1"/>
  <c r="J50" i="5" s="1"/>
  <c r="J48" i="5"/>
  <c r="G48" i="5" s="1"/>
  <c r="DL23" i="1"/>
  <c r="J47" i="5" s="1"/>
  <c r="J45" i="5"/>
  <c r="E45" i="5"/>
  <c r="DL22" i="1"/>
  <c r="J44" i="5" s="1"/>
  <c r="J42" i="5"/>
  <c r="E42" i="5"/>
  <c r="DL21" i="1"/>
  <c r="J41" i="5" s="1"/>
  <c r="J39" i="5"/>
  <c r="G39" i="5" s="1"/>
  <c r="E39" i="5"/>
  <c r="DL20" i="1"/>
  <c r="J38" i="5" s="1"/>
  <c r="E38" i="5" s="1"/>
  <c r="J36" i="5"/>
  <c r="E36" i="5" s="1"/>
  <c r="DL19" i="1"/>
  <c r="J35" i="5" s="1"/>
  <c r="J33" i="5"/>
  <c r="E33" i="5"/>
  <c r="DL18" i="1"/>
  <c r="J32" i="5" s="1"/>
  <c r="E32" i="5" s="1"/>
  <c r="J30" i="5"/>
  <c r="G30" i="5" s="1"/>
  <c r="M30" i="5" s="1"/>
  <c r="D30" i="5" s="1"/>
  <c r="DL17" i="1"/>
  <c r="J29" i="5" s="1"/>
  <c r="J27" i="5"/>
  <c r="DL16" i="1"/>
  <c r="J26" i="5" s="1"/>
  <c r="E26" i="5" s="1"/>
  <c r="J24" i="5"/>
  <c r="G24" i="5"/>
  <c r="DL15" i="1"/>
  <c r="J23" i="5" s="1"/>
  <c r="J21" i="5"/>
  <c r="G21" i="5"/>
  <c r="DL14" i="1"/>
  <c r="J20" i="5" s="1"/>
  <c r="G20" i="5" s="1"/>
  <c r="DG14" i="1"/>
  <c r="R20" i="5" s="1"/>
  <c r="CV14" i="1"/>
  <c r="J18" i="5"/>
  <c r="G18" i="5" s="1"/>
  <c r="L18" i="5" s="1"/>
  <c r="C18" i="5" s="1"/>
  <c r="R18" i="5"/>
  <c r="DL13" i="1"/>
  <c r="J17" i="5" s="1"/>
  <c r="E17" i="5" s="1"/>
  <c r="J15" i="5"/>
  <c r="G15" i="5"/>
  <c r="R15" i="5"/>
  <c r="DL12" i="1"/>
  <c r="J14" i="5" s="1"/>
  <c r="G14" i="5" s="1"/>
  <c r="CV12" i="1"/>
  <c r="CW12" i="1"/>
  <c r="J12" i="5"/>
  <c r="G12" i="5" s="1"/>
  <c r="L12" i="5" s="1"/>
  <c r="C12" i="5" s="1"/>
  <c r="R12" i="5"/>
  <c r="DL11" i="1"/>
  <c r="J11" i="5" s="1"/>
  <c r="J9" i="5"/>
  <c r="G9" i="5" s="1"/>
  <c r="CC155" i="4"/>
  <c r="CC154" i="4"/>
  <c r="DA12" i="1"/>
  <c r="BQ15" i="4"/>
  <c r="BQ13" i="4"/>
  <c r="CC145" i="4"/>
  <c r="CC146" i="4"/>
  <c r="CC147" i="4"/>
  <c r="CC148" i="4"/>
  <c r="CC150" i="4"/>
  <c r="CC151" i="4"/>
  <c r="CC152" i="4"/>
  <c r="CC153" i="4"/>
  <c r="CC164" i="4"/>
  <c r="CC165" i="4"/>
  <c r="CK12" i="4"/>
  <c r="CK21" i="4"/>
  <c r="CK22" i="4"/>
  <c r="CK24" i="4"/>
  <c r="CK25" i="4"/>
  <c r="CK26" i="4"/>
  <c r="CK27" i="4"/>
  <c r="CS12" i="4"/>
  <c r="CS13" i="4"/>
  <c r="CS14" i="4"/>
  <c r="CS16" i="4"/>
  <c r="CS17" i="4"/>
  <c r="CS18" i="4"/>
  <c r="CS19" i="4"/>
  <c r="CS20" i="4"/>
  <c r="CS21" i="4"/>
  <c r="CS22" i="4"/>
  <c r="CS35" i="4"/>
  <c r="CW12" i="4"/>
  <c r="CW16" i="4"/>
  <c r="CW17" i="4"/>
  <c r="CW18" i="4"/>
  <c r="CW20" i="4"/>
  <c r="DG12" i="1"/>
  <c r="S14" i="5" s="1"/>
  <c r="DJ12" i="1"/>
  <c r="AD12" i="1"/>
  <c r="AI12" i="1"/>
  <c r="AX12" i="1"/>
  <c r="BH12" i="1"/>
  <c r="BM12" i="1"/>
  <c r="BR12" i="1"/>
  <c r="AN12" i="1"/>
  <c r="AS12" i="1"/>
  <c r="AT12" i="1" s="1"/>
  <c r="AU12" i="1" s="1"/>
  <c r="AV12" i="1" s="1"/>
  <c r="BC12" i="1"/>
  <c r="CB12" i="1"/>
  <c r="CL12" i="1"/>
  <c r="CQ12" i="1"/>
  <c r="AI13" i="1"/>
  <c r="AX13" i="1"/>
  <c r="BH13" i="1"/>
  <c r="BM13" i="1"/>
  <c r="BR13" i="1"/>
  <c r="AN13" i="1"/>
  <c r="AS13" i="1"/>
  <c r="BC13" i="1"/>
  <c r="CB13" i="1"/>
  <c r="CL13" i="1"/>
  <c r="CQ13" i="1"/>
  <c r="AD14" i="1"/>
  <c r="AI14" i="1"/>
  <c r="AN14" i="1"/>
  <c r="AS14" i="1"/>
  <c r="AX14" i="1"/>
  <c r="BC14" i="1"/>
  <c r="BH14" i="1"/>
  <c r="BM14" i="1"/>
  <c r="BR14" i="1"/>
  <c r="CB14" i="1"/>
  <c r="CL14" i="1"/>
  <c r="CQ14" i="1"/>
  <c r="AD15" i="1"/>
  <c r="AI15" i="1"/>
  <c r="AN15" i="1"/>
  <c r="AS15" i="1"/>
  <c r="AX15" i="1"/>
  <c r="BC15" i="1"/>
  <c r="BH15" i="1"/>
  <c r="BM15" i="1"/>
  <c r="BR15" i="1"/>
  <c r="CB15" i="1"/>
  <c r="CL15" i="1"/>
  <c r="CQ15" i="1"/>
  <c r="CV16" i="1"/>
  <c r="AB25" i="5" s="1"/>
  <c r="DA16" i="1"/>
  <c r="CW16" i="1"/>
  <c r="DC16" i="1"/>
  <c r="X25" i="5" s="1"/>
  <c r="AD16" i="1"/>
  <c r="AI16" i="1"/>
  <c r="AN16" i="1"/>
  <c r="AS16" i="1"/>
  <c r="AX16" i="1"/>
  <c r="BC16" i="1"/>
  <c r="BH16" i="1"/>
  <c r="BM16" i="1"/>
  <c r="BR16" i="1"/>
  <c r="CB16" i="1"/>
  <c r="CL16" i="1"/>
  <c r="CQ16" i="1"/>
  <c r="CV17" i="1"/>
  <c r="R28" i="5" s="1"/>
  <c r="DA17" i="1"/>
  <c r="CW17" i="1"/>
  <c r="DC17" i="1"/>
  <c r="AD17" i="1"/>
  <c r="AI17" i="1"/>
  <c r="AN17" i="1"/>
  <c r="AS17" i="1"/>
  <c r="AX17" i="1"/>
  <c r="BC17" i="1"/>
  <c r="BH17" i="1"/>
  <c r="BM17" i="1"/>
  <c r="BR17" i="1"/>
  <c r="CB17" i="1"/>
  <c r="CL17" i="1"/>
  <c r="CQ17" i="1"/>
  <c r="CV18" i="1"/>
  <c r="CW18" i="1"/>
  <c r="DA18" i="1"/>
  <c r="DC18" i="1"/>
  <c r="AD18" i="1"/>
  <c r="AI18" i="1"/>
  <c r="AN18" i="1"/>
  <c r="AS18" i="1"/>
  <c r="AX18" i="1"/>
  <c r="BC18" i="1"/>
  <c r="BH18" i="1"/>
  <c r="BM18" i="1"/>
  <c r="BR18" i="1"/>
  <c r="CB18" i="1"/>
  <c r="CL18" i="1"/>
  <c r="CQ18" i="1"/>
  <c r="CV19" i="1"/>
  <c r="CW19" i="1"/>
  <c r="DA19" i="1"/>
  <c r="DC19" i="1"/>
  <c r="AG34" i="5" s="1"/>
  <c r="X19" i="1"/>
  <c r="AD19" i="1"/>
  <c r="AI19" i="1"/>
  <c r="AN19" i="1"/>
  <c r="AS19" i="1"/>
  <c r="AX19" i="1"/>
  <c r="BC19" i="1"/>
  <c r="BH19" i="1"/>
  <c r="BM19" i="1"/>
  <c r="BR19" i="1"/>
  <c r="CB19" i="1"/>
  <c r="CL19" i="1"/>
  <c r="CQ19" i="1"/>
  <c r="CV20" i="1"/>
  <c r="AB37" i="5" s="1"/>
  <c r="DA20" i="1"/>
  <c r="CW20" i="1"/>
  <c r="DC20" i="1"/>
  <c r="AG37" i="5" s="1"/>
  <c r="X20" i="1"/>
  <c r="AD20" i="1"/>
  <c r="AI20" i="1"/>
  <c r="AN20" i="1"/>
  <c r="AS20" i="1"/>
  <c r="AX20" i="1"/>
  <c r="BC20" i="1"/>
  <c r="BH20" i="1"/>
  <c r="BM20" i="1"/>
  <c r="BR20" i="1"/>
  <c r="CB20" i="1"/>
  <c r="CL20" i="1"/>
  <c r="CQ20" i="1"/>
  <c r="CV21" i="1"/>
  <c r="CW21" i="1"/>
  <c r="DA21" i="1"/>
  <c r="DC21" i="1"/>
  <c r="X21" i="1"/>
  <c r="AD21" i="1"/>
  <c r="AI21" i="1"/>
  <c r="AN21" i="1"/>
  <c r="AS21" i="1"/>
  <c r="AX21" i="1"/>
  <c r="BC21" i="1"/>
  <c r="BH21" i="1"/>
  <c r="BM21" i="1"/>
  <c r="BR21" i="1"/>
  <c r="CB21" i="1"/>
  <c r="CL21" i="1"/>
  <c r="CQ21" i="1"/>
  <c r="CV22" i="1"/>
  <c r="AA43" i="5" s="1"/>
  <c r="DA22" i="1"/>
  <c r="CW22" i="1"/>
  <c r="DC22" i="1"/>
  <c r="X43" i="5" s="1"/>
  <c r="X22" i="1"/>
  <c r="AD22" i="1"/>
  <c r="AI22" i="1"/>
  <c r="AN22" i="1"/>
  <c r="AS22" i="1"/>
  <c r="AX22" i="1"/>
  <c r="BC22" i="1"/>
  <c r="BH22" i="1"/>
  <c r="BM22" i="1"/>
  <c r="BR22" i="1"/>
  <c r="CB22" i="1"/>
  <c r="CL22" i="1"/>
  <c r="CQ22" i="1"/>
  <c r="CV23" i="1"/>
  <c r="CW23" i="1"/>
  <c r="DA23" i="1"/>
  <c r="DC23" i="1"/>
  <c r="AG46" i="5" s="1"/>
  <c r="X23" i="1"/>
  <c r="CV24" i="1"/>
  <c r="CW24" i="1"/>
  <c r="DA24" i="1"/>
  <c r="DC24" i="1"/>
  <c r="X49" i="5" s="1"/>
  <c r="X24" i="1"/>
  <c r="CV25" i="1"/>
  <c r="AA52" i="5" s="1"/>
  <c r="CW25" i="1"/>
  <c r="DA25" i="1"/>
  <c r="DC25" i="1"/>
  <c r="AG52" i="5" s="1"/>
  <c r="X25" i="1"/>
  <c r="AD32" i="1"/>
  <c r="AI32" i="1"/>
  <c r="AN32" i="1"/>
  <c r="AS32" i="1"/>
  <c r="AX32" i="1"/>
  <c r="BC32" i="1"/>
  <c r="BH32" i="1"/>
  <c r="BM32" i="1"/>
  <c r="BR32" i="1"/>
  <c r="CB32" i="1"/>
  <c r="AD33" i="1"/>
  <c r="AI33" i="1"/>
  <c r="AN33" i="1"/>
  <c r="AS33" i="1"/>
  <c r="AX33" i="1"/>
  <c r="BC33" i="1"/>
  <c r="BH33" i="1"/>
  <c r="BM33" i="1"/>
  <c r="BR33" i="1"/>
  <c r="CB33" i="1"/>
  <c r="AD34" i="1"/>
  <c r="AI34" i="1"/>
  <c r="AN34" i="1"/>
  <c r="AS34" i="1"/>
  <c r="AX34" i="1"/>
  <c r="BC34" i="1"/>
  <c r="BH34" i="1"/>
  <c r="BM34" i="1"/>
  <c r="BR34" i="1"/>
  <c r="CB34" i="1"/>
  <c r="AD35" i="1"/>
  <c r="AI35" i="1"/>
  <c r="AN35" i="1"/>
  <c r="AS35" i="1"/>
  <c r="AX35" i="1"/>
  <c r="BC35" i="1"/>
  <c r="BH35" i="1"/>
  <c r="BM35" i="1"/>
  <c r="BR35" i="1"/>
  <c r="CB35" i="1"/>
  <c r="AD36" i="1"/>
  <c r="AI36" i="1"/>
  <c r="AN36" i="1"/>
  <c r="AS36" i="1"/>
  <c r="AX36" i="1"/>
  <c r="BC36" i="1"/>
  <c r="BH36" i="1"/>
  <c r="BM36" i="1"/>
  <c r="BR36" i="1"/>
  <c r="CB36" i="1"/>
  <c r="AD37" i="1"/>
  <c r="AI37" i="1"/>
  <c r="AN37" i="1"/>
  <c r="AS37" i="1"/>
  <c r="AX37" i="1"/>
  <c r="BC37" i="1"/>
  <c r="BH37" i="1"/>
  <c r="BM37" i="1"/>
  <c r="BR37" i="1"/>
  <c r="CB37" i="1"/>
  <c r="AD38" i="1"/>
  <c r="AI38" i="1"/>
  <c r="AN38" i="1"/>
  <c r="AS38" i="1"/>
  <c r="AX38" i="1"/>
  <c r="BC38" i="1"/>
  <c r="BH38" i="1"/>
  <c r="BM38" i="1"/>
  <c r="BR38" i="1"/>
  <c r="CB38" i="1"/>
  <c r="AD39" i="1"/>
  <c r="AI39" i="1"/>
  <c r="AN39" i="1"/>
  <c r="AS39" i="1"/>
  <c r="AX39" i="1"/>
  <c r="BC39" i="1"/>
  <c r="BH39" i="1"/>
  <c r="BM39" i="1"/>
  <c r="BR39" i="1"/>
  <c r="CB39" i="1"/>
  <c r="X40" i="1"/>
  <c r="AD40" i="1"/>
  <c r="AI40" i="1"/>
  <c r="AN40" i="1"/>
  <c r="AS40" i="1"/>
  <c r="AX40" i="1"/>
  <c r="BC40" i="1"/>
  <c r="BH40" i="1"/>
  <c r="BM40" i="1"/>
  <c r="BR40" i="1"/>
  <c r="CB40" i="1"/>
  <c r="X41" i="1"/>
  <c r="X42" i="1"/>
  <c r="X43" i="1"/>
  <c r="X67" i="1"/>
  <c r="X68" i="1"/>
  <c r="X69" i="1"/>
  <c r="G1" i="5"/>
  <c r="X51" i="1"/>
  <c r="X52" i="1"/>
  <c r="X53" i="1"/>
  <c r="X54" i="1"/>
  <c r="X55" i="1"/>
  <c r="X56" i="1"/>
  <c r="X57" i="1"/>
  <c r="X58" i="1"/>
  <c r="X59" i="1"/>
  <c r="X60" i="1"/>
  <c r="X61" i="1"/>
  <c r="X87" i="1"/>
  <c r="X88" i="1"/>
  <c r="X89" i="1"/>
  <c r="X90" i="1"/>
  <c r="X91" i="1"/>
  <c r="X92" i="1"/>
  <c r="X93" i="1"/>
  <c r="DG25" i="1"/>
  <c r="R53" i="5" s="1"/>
  <c r="DJ25" i="1"/>
  <c r="CZ25" i="1"/>
  <c r="DI25" i="1" s="1"/>
  <c r="DD25" i="1"/>
  <c r="Y52" i="5" s="1"/>
  <c r="CX25" i="1"/>
  <c r="AF51" i="5"/>
  <c r="AE51" i="5"/>
  <c r="AD51" i="5"/>
  <c r="AB51" i="5"/>
  <c r="AA51" i="5"/>
  <c r="W51" i="5"/>
  <c r="V51" i="5"/>
  <c r="U51" i="5"/>
  <c r="S51" i="5"/>
  <c r="R51" i="5"/>
  <c r="DG24" i="1"/>
  <c r="R50" i="5" s="1"/>
  <c r="DJ24" i="1"/>
  <c r="CZ24" i="1"/>
  <c r="DI24" i="1" s="1"/>
  <c r="DD24" i="1"/>
  <c r="Y49" i="5" s="1"/>
  <c r="CX24" i="1"/>
  <c r="AF48" i="5"/>
  <c r="AE48" i="5"/>
  <c r="AD48" i="5"/>
  <c r="AB48" i="5"/>
  <c r="AA48" i="5"/>
  <c r="W48" i="5"/>
  <c r="V48" i="5"/>
  <c r="U48" i="5"/>
  <c r="S48" i="5"/>
  <c r="R48" i="5"/>
  <c r="DJ23" i="1"/>
  <c r="DG23" i="1"/>
  <c r="DK23" i="1"/>
  <c r="AD47" i="5" s="1"/>
  <c r="CZ23" i="1"/>
  <c r="DD23" i="1"/>
  <c r="DB23" i="1"/>
  <c r="AD46" i="5" s="1"/>
  <c r="CX23" i="1"/>
  <c r="AF45" i="5"/>
  <c r="AE45" i="5"/>
  <c r="AD45" i="5"/>
  <c r="AB45" i="5"/>
  <c r="AA45" i="5"/>
  <c r="W45" i="5"/>
  <c r="V45" i="5"/>
  <c r="U45" i="5"/>
  <c r="S45" i="5"/>
  <c r="R45" i="5"/>
  <c r="DG22" i="1"/>
  <c r="DJ22" i="1"/>
  <c r="DK22" i="1"/>
  <c r="AD44" i="5" s="1"/>
  <c r="CZ22" i="1"/>
  <c r="DI22" i="1" s="1"/>
  <c r="CX22" i="1"/>
  <c r="DD22" i="1"/>
  <c r="Y43" i="5" s="1"/>
  <c r="DB22" i="1"/>
  <c r="AD43" i="5" s="1"/>
  <c r="AF42" i="5"/>
  <c r="AE42" i="5"/>
  <c r="AD42" i="5"/>
  <c r="AB42" i="5"/>
  <c r="AA42" i="5"/>
  <c r="W42" i="5"/>
  <c r="V42" i="5"/>
  <c r="U42" i="5"/>
  <c r="S42" i="5"/>
  <c r="R42" i="5"/>
  <c r="DG21" i="1"/>
  <c r="DJ21" i="1"/>
  <c r="DK21" i="1"/>
  <c r="U41" i="5" s="1"/>
  <c r="CZ21" i="1"/>
  <c r="DI21" i="1" s="1"/>
  <c r="DD21" i="1"/>
  <c r="Y40" i="5" s="1"/>
  <c r="DB21" i="1"/>
  <c r="U40" i="5" s="1"/>
  <c r="CX21" i="1"/>
  <c r="AF39" i="5"/>
  <c r="AE39" i="5"/>
  <c r="AD39" i="5"/>
  <c r="AB39" i="5"/>
  <c r="AA39" i="5"/>
  <c r="W39" i="5"/>
  <c r="V39" i="5"/>
  <c r="U39" i="5"/>
  <c r="S39" i="5"/>
  <c r="R39" i="5"/>
  <c r="DG20" i="1"/>
  <c r="R38" i="5" s="1"/>
  <c r="DJ20" i="1"/>
  <c r="DK20" i="1"/>
  <c r="CZ20" i="1"/>
  <c r="DI20" i="1" s="1"/>
  <c r="DD20" i="1"/>
  <c r="AH37" i="5" s="1"/>
  <c r="DB20" i="1"/>
  <c r="U37" i="5" s="1"/>
  <c r="CX20" i="1"/>
  <c r="AF36" i="5"/>
  <c r="AE36" i="5"/>
  <c r="AD36" i="5"/>
  <c r="AB36" i="5"/>
  <c r="AA36" i="5"/>
  <c r="W36" i="5"/>
  <c r="V36" i="5"/>
  <c r="U36" i="5"/>
  <c r="S36" i="5"/>
  <c r="R36" i="5"/>
  <c r="DG19" i="1"/>
  <c r="AA35" i="5" s="1"/>
  <c r="DJ19" i="1"/>
  <c r="DK19" i="1"/>
  <c r="AD35" i="5" s="1"/>
  <c r="CZ19" i="1"/>
  <c r="DI19" i="1" s="1"/>
  <c r="DD19" i="1"/>
  <c r="Y34" i="5" s="1"/>
  <c r="DB19" i="1"/>
  <c r="AD34" i="5" s="1"/>
  <c r="CX19" i="1"/>
  <c r="AF33" i="5"/>
  <c r="AE33" i="5"/>
  <c r="AD33" i="5"/>
  <c r="AB33" i="5"/>
  <c r="AA33" i="5"/>
  <c r="W33" i="5"/>
  <c r="V33" i="5"/>
  <c r="U33" i="5"/>
  <c r="S33" i="5"/>
  <c r="R33" i="5"/>
  <c r="AF69" i="5"/>
  <c r="AE69" i="5"/>
  <c r="AD69" i="5"/>
  <c r="AB69" i="5"/>
  <c r="AA69" i="5"/>
  <c r="W69" i="5"/>
  <c r="V69" i="5"/>
  <c r="U69" i="5"/>
  <c r="S69" i="5"/>
  <c r="R69" i="5"/>
  <c r="AF68" i="5"/>
  <c r="AE68" i="5"/>
  <c r="AD68" i="5"/>
  <c r="AB68" i="5"/>
  <c r="AA68" i="5"/>
  <c r="W68" i="5"/>
  <c r="V68" i="5"/>
  <c r="U68" i="5"/>
  <c r="S68" i="5"/>
  <c r="R68" i="5"/>
  <c r="AF67" i="5"/>
  <c r="AE67" i="5"/>
  <c r="AD67" i="5"/>
  <c r="AB67" i="5"/>
  <c r="AA67" i="5"/>
  <c r="W67" i="5"/>
  <c r="V67" i="5"/>
  <c r="U67" i="5"/>
  <c r="S67" i="5"/>
  <c r="R67" i="5"/>
  <c r="AF66" i="5"/>
  <c r="AE66" i="5"/>
  <c r="AD66" i="5"/>
  <c r="AB66" i="5"/>
  <c r="AA66" i="5"/>
  <c r="W66" i="5"/>
  <c r="V66" i="5"/>
  <c r="U66" i="5"/>
  <c r="S66" i="5"/>
  <c r="R66" i="5"/>
  <c r="AF65" i="5"/>
  <c r="AE65" i="5"/>
  <c r="AD65" i="5"/>
  <c r="AB65" i="5"/>
  <c r="AA65" i="5"/>
  <c r="W65" i="5"/>
  <c r="V65" i="5"/>
  <c r="U65" i="5"/>
  <c r="S65" i="5"/>
  <c r="R65" i="5"/>
  <c r="AF64" i="5"/>
  <c r="AE64" i="5"/>
  <c r="AD64" i="5"/>
  <c r="AB64" i="5"/>
  <c r="AA64" i="5"/>
  <c r="W64" i="5"/>
  <c r="V64" i="5"/>
  <c r="U64" i="5"/>
  <c r="S64" i="5"/>
  <c r="R64" i="5"/>
  <c r="AF63" i="5"/>
  <c r="AE63" i="5"/>
  <c r="AD63" i="5"/>
  <c r="AB63" i="5"/>
  <c r="AA63" i="5"/>
  <c r="W63" i="5"/>
  <c r="V63" i="5"/>
  <c r="U63" i="5"/>
  <c r="S63" i="5"/>
  <c r="R63" i="5"/>
  <c r="AF62" i="5"/>
  <c r="AE62" i="5"/>
  <c r="AD62" i="5"/>
  <c r="AB62" i="5"/>
  <c r="AA62" i="5"/>
  <c r="W62" i="5"/>
  <c r="V62" i="5"/>
  <c r="U62" i="5"/>
  <c r="S62" i="5"/>
  <c r="R62" i="5"/>
  <c r="AF61" i="5"/>
  <c r="AE61" i="5"/>
  <c r="AD61" i="5"/>
  <c r="AB61" i="5"/>
  <c r="AA61" i="5"/>
  <c r="W61" i="5"/>
  <c r="V61" i="5"/>
  <c r="U61" i="5"/>
  <c r="S61" i="5"/>
  <c r="R61" i="5"/>
  <c r="AF60" i="5"/>
  <c r="AE60" i="5"/>
  <c r="AD60" i="5"/>
  <c r="AB60" i="5"/>
  <c r="AA60" i="5"/>
  <c r="W60" i="5"/>
  <c r="V60" i="5"/>
  <c r="U60" i="5"/>
  <c r="S60" i="5"/>
  <c r="R60" i="5"/>
  <c r="AF59" i="5"/>
  <c r="AE59" i="5"/>
  <c r="AD59" i="5"/>
  <c r="AB59" i="5"/>
  <c r="AA59" i="5"/>
  <c r="W59" i="5"/>
  <c r="V59" i="5"/>
  <c r="U59" i="5"/>
  <c r="S59" i="5"/>
  <c r="R59" i="5"/>
  <c r="AF58" i="5"/>
  <c r="AE58" i="5"/>
  <c r="AD58" i="5"/>
  <c r="AB58" i="5"/>
  <c r="AA58" i="5"/>
  <c r="W58" i="5"/>
  <c r="V58" i="5"/>
  <c r="U58" i="5"/>
  <c r="S58" i="5"/>
  <c r="R58" i="5"/>
  <c r="AF57" i="5"/>
  <c r="AE57" i="5"/>
  <c r="AD57" i="5"/>
  <c r="AB57" i="5"/>
  <c r="AA57" i="5"/>
  <c r="W57" i="5"/>
  <c r="V57" i="5"/>
  <c r="U57" i="5"/>
  <c r="S57" i="5"/>
  <c r="AF56" i="5"/>
  <c r="AE56" i="5"/>
  <c r="AD56" i="5"/>
  <c r="AB56" i="5"/>
  <c r="AA56" i="5"/>
  <c r="W56" i="5"/>
  <c r="V56" i="5"/>
  <c r="U56" i="5"/>
  <c r="S56" i="5"/>
  <c r="R56" i="5"/>
  <c r="AD85" i="5"/>
  <c r="AB85" i="5"/>
  <c r="AA85" i="5"/>
  <c r="U85" i="5"/>
  <c r="S85" i="5"/>
  <c r="R85" i="5"/>
  <c r="AD84" i="5"/>
  <c r="AB84" i="5"/>
  <c r="AA84" i="5"/>
  <c r="U84" i="5"/>
  <c r="S84" i="5"/>
  <c r="R84" i="5"/>
  <c r="AD83" i="5"/>
  <c r="AB83" i="5"/>
  <c r="AA83" i="5"/>
  <c r="U83" i="5"/>
  <c r="S83" i="5"/>
  <c r="R83" i="5"/>
  <c r="AD82" i="5"/>
  <c r="AB82" i="5"/>
  <c r="AA82" i="5"/>
  <c r="U82" i="5"/>
  <c r="S82" i="5"/>
  <c r="R82" i="5"/>
  <c r="AD81" i="5"/>
  <c r="AB81" i="5"/>
  <c r="AA81" i="5"/>
  <c r="U81" i="5"/>
  <c r="S81" i="5"/>
  <c r="R81" i="5"/>
  <c r="AD80" i="5"/>
  <c r="AB80" i="5"/>
  <c r="AA80" i="5"/>
  <c r="U80" i="5"/>
  <c r="S80" i="5"/>
  <c r="R80" i="5"/>
  <c r="AD79" i="5"/>
  <c r="AB79" i="5"/>
  <c r="AA79" i="5"/>
  <c r="U79" i="5"/>
  <c r="S79" i="5"/>
  <c r="R79" i="5"/>
  <c r="AD78" i="5"/>
  <c r="AB78" i="5"/>
  <c r="AA78" i="5"/>
  <c r="U78" i="5"/>
  <c r="S78" i="5"/>
  <c r="R78" i="5"/>
  <c r="AD77" i="5"/>
  <c r="AB77" i="5"/>
  <c r="AA77" i="5"/>
  <c r="U77" i="5"/>
  <c r="S77" i="5"/>
  <c r="R77" i="5"/>
  <c r="AD76" i="5"/>
  <c r="AB76" i="5"/>
  <c r="AA76" i="5"/>
  <c r="U76" i="5"/>
  <c r="S76" i="5"/>
  <c r="R76" i="5"/>
  <c r="AD75" i="5"/>
  <c r="AB75" i="5"/>
  <c r="AA75" i="5"/>
  <c r="U75" i="5"/>
  <c r="S75" i="5"/>
  <c r="R75" i="5"/>
  <c r="AD74" i="5"/>
  <c r="AB74" i="5"/>
  <c r="AA74" i="5"/>
  <c r="U74" i="5"/>
  <c r="S74" i="5"/>
  <c r="AD73" i="5"/>
  <c r="AB73" i="5"/>
  <c r="AA73" i="5"/>
  <c r="U73" i="5"/>
  <c r="S73" i="5"/>
  <c r="AD72" i="5"/>
  <c r="AB72" i="5"/>
  <c r="AA72" i="5"/>
  <c r="U72" i="5"/>
  <c r="S72" i="5"/>
  <c r="R72" i="5"/>
  <c r="AF91" i="5"/>
  <c r="AD91" i="5"/>
  <c r="AC91" i="5"/>
  <c r="AB91" i="5"/>
  <c r="AA91" i="5"/>
  <c r="W91" i="5"/>
  <c r="U91" i="5"/>
  <c r="T91" i="5"/>
  <c r="S91" i="5"/>
  <c r="R91" i="5"/>
  <c r="AF90" i="5"/>
  <c r="AD90" i="5"/>
  <c r="AC90" i="5"/>
  <c r="AB90" i="5"/>
  <c r="AA90" i="5"/>
  <c r="W90" i="5"/>
  <c r="U90" i="5"/>
  <c r="T90" i="5"/>
  <c r="S90" i="5"/>
  <c r="R90" i="5"/>
  <c r="AF89" i="5"/>
  <c r="AD89" i="5"/>
  <c r="AC89" i="5"/>
  <c r="AB89" i="5"/>
  <c r="AA89" i="5"/>
  <c r="W89" i="5"/>
  <c r="U89" i="5"/>
  <c r="T89" i="5"/>
  <c r="S89" i="5"/>
  <c r="R89" i="5"/>
  <c r="AF88" i="5"/>
  <c r="AD88" i="5"/>
  <c r="AC88" i="5"/>
  <c r="AB88" i="5"/>
  <c r="AA88" i="5"/>
  <c r="W88" i="5"/>
  <c r="U88" i="5"/>
  <c r="T88" i="5"/>
  <c r="S88" i="5"/>
  <c r="R88" i="5"/>
  <c r="AA112" i="5"/>
  <c r="R112" i="5"/>
  <c r="AA111" i="5"/>
  <c r="R111" i="5"/>
  <c r="AA110" i="5"/>
  <c r="R110" i="5"/>
  <c r="AA109" i="5"/>
  <c r="R109" i="5"/>
  <c r="AA108" i="5"/>
  <c r="R108" i="5"/>
  <c r="AA107" i="5"/>
  <c r="R107" i="5"/>
  <c r="AA106" i="5"/>
  <c r="R106" i="5"/>
  <c r="AA105" i="5"/>
  <c r="AA104" i="5"/>
  <c r="R104" i="5"/>
  <c r="AD102" i="5"/>
  <c r="AC102" i="5"/>
  <c r="AA102" i="5"/>
  <c r="U102" i="5"/>
  <c r="T102" i="5"/>
  <c r="S102" i="5"/>
  <c r="R102" i="5"/>
  <c r="AD101" i="5"/>
  <c r="AC101" i="5"/>
  <c r="AA101" i="5"/>
  <c r="U101" i="5"/>
  <c r="T101" i="5"/>
  <c r="S101" i="5"/>
  <c r="R101" i="5"/>
  <c r="AD100" i="5"/>
  <c r="AC100" i="5"/>
  <c r="AA100" i="5"/>
  <c r="U100" i="5"/>
  <c r="T100" i="5"/>
  <c r="S100" i="5"/>
  <c r="R100" i="5"/>
  <c r="AD99" i="5"/>
  <c r="AC99" i="5"/>
  <c r="AA99" i="5"/>
  <c r="U99" i="5"/>
  <c r="T99" i="5"/>
  <c r="S99" i="5"/>
  <c r="R99" i="5"/>
  <c r="AD98" i="5"/>
  <c r="AC98" i="5"/>
  <c r="AA98" i="5"/>
  <c r="U98" i="5"/>
  <c r="T98" i="5"/>
  <c r="S98" i="5"/>
  <c r="R98" i="5"/>
  <c r="AD97" i="5"/>
  <c r="AC97" i="5"/>
  <c r="AA97" i="5"/>
  <c r="U97" i="5"/>
  <c r="T97" i="5"/>
  <c r="S97" i="5"/>
  <c r="R97" i="5"/>
  <c r="AD96" i="5"/>
  <c r="AC96" i="5"/>
  <c r="AA96" i="5"/>
  <c r="U96" i="5"/>
  <c r="T96" i="5"/>
  <c r="S96" i="5"/>
  <c r="R96" i="5"/>
  <c r="AD95" i="5"/>
  <c r="AC95" i="5"/>
  <c r="AA95" i="5"/>
  <c r="U95" i="5"/>
  <c r="T95" i="5"/>
  <c r="S95" i="5"/>
  <c r="R95" i="5"/>
  <c r="AD94" i="5"/>
  <c r="AC94" i="5"/>
  <c r="AA94" i="5"/>
  <c r="U94" i="5"/>
  <c r="T94" i="5"/>
  <c r="S94" i="5"/>
  <c r="R94" i="5"/>
  <c r="CX18" i="1"/>
  <c r="CZ18" i="1"/>
  <c r="DB18" i="1"/>
  <c r="DD18" i="1"/>
  <c r="AH31" i="5" s="1"/>
  <c r="CX17" i="1"/>
  <c r="CZ17" i="1"/>
  <c r="DI17" i="1" s="1"/>
  <c r="DB17" i="1"/>
  <c r="AD28" i="5" s="1"/>
  <c r="DD17" i="1"/>
  <c r="AH28" i="5" s="1"/>
  <c r="CX16" i="1"/>
  <c r="CZ16" i="1"/>
  <c r="DB16" i="1"/>
  <c r="AD25" i="5" s="1"/>
  <c r="DD16" i="1"/>
  <c r="AA24" i="5"/>
  <c r="AB24" i="5"/>
  <c r="AD24" i="5"/>
  <c r="AE24" i="5"/>
  <c r="AF24" i="5"/>
  <c r="R24" i="5"/>
  <c r="S24" i="5"/>
  <c r="U24" i="5"/>
  <c r="V24" i="5"/>
  <c r="W24" i="5"/>
  <c r="AD87" i="1"/>
  <c r="Y87" i="1"/>
  <c r="U87" i="1"/>
  <c r="A87" i="1"/>
  <c r="AD86" i="1"/>
  <c r="U86" i="1"/>
  <c r="Y86" i="1"/>
  <c r="A86" i="1"/>
  <c r="AD88" i="1"/>
  <c r="Y88" i="1"/>
  <c r="U88" i="1"/>
  <c r="A88" i="1"/>
  <c r="AD85" i="1"/>
  <c r="AE85" i="1"/>
  <c r="AF85" i="1" s="1"/>
  <c r="AG85" i="1" s="1"/>
  <c r="AB85" i="1" s="1"/>
  <c r="AC85" i="1" s="1"/>
  <c r="Y85" i="1"/>
  <c r="A85" i="1"/>
  <c r="AD90" i="1"/>
  <c r="AE90" i="1" s="1"/>
  <c r="Y90" i="1"/>
  <c r="U90" i="1"/>
  <c r="A90" i="1"/>
  <c r="AD89" i="1"/>
  <c r="Y89" i="1"/>
  <c r="U89" i="1"/>
  <c r="A89" i="1"/>
  <c r="AD91" i="1"/>
  <c r="AE91" i="1" s="1"/>
  <c r="AF91" i="1" s="1"/>
  <c r="AG91" i="1" s="1"/>
  <c r="AB91" i="1" s="1"/>
  <c r="AC91" i="1" s="1"/>
  <c r="Y91" i="1"/>
  <c r="U91" i="1"/>
  <c r="A91" i="1"/>
  <c r="A77" i="1"/>
  <c r="A79" i="1"/>
  <c r="A78" i="1"/>
  <c r="A75" i="1"/>
  <c r="A74" i="1"/>
  <c r="BM66" i="1"/>
  <c r="BC66" i="1"/>
  <c r="AX66" i="1"/>
  <c r="AS66" i="1"/>
  <c r="AN66" i="1"/>
  <c r="AO66" i="1" s="1"/>
  <c r="AI66" i="1"/>
  <c r="AD66" i="1"/>
  <c r="Y66" i="1"/>
  <c r="A66" i="1"/>
  <c r="BM67" i="1"/>
  <c r="BC67" i="1"/>
  <c r="AX67" i="1"/>
  <c r="AS67" i="1"/>
  <c r="AN67" i="1"/>
  <c r="AI67" i="1"/>
  <c r="AD67" i="1"/>
  <c r="Y67" i="1"/>
  <c r="U67" i="1"/>
  <c r="A67" i="1"/>
  <c r="CB54" i="1"/>
  <c r="BR54" i="1"/>
  <c r="BC54" i="1"/>
  <c r="AX54" i="1"/>
  <c r="AS54" i="1"/>
  <c r="AN54" i="1"/>
  <c r="AI54" i="1"/>
  <c r="AD54" i="1"/>
  <c r="Y54" i="1"/>
  <c r="U54" i="1"/>
  <c r="A54" i="1"/>
  <c r="CB53" i="1"/>
  <c r="BR53" i="1"/>
  <c r="BC53" i="1"/>
  <c r="AX53" i="1"/>
  <c r="AS53" i="1"/>
  <c r="AN53" i="1"/>
  <c r="AI53" i="1"/>
  <c r="AD53" i="1"/>
  <c r="Y53" i="1"/>
  <c r="U53" i="1"/>
  <c r="A53" i="1"/>
  <c r="CB52" i="1"/>
  <c r="BR52" i="1"/>
  <c r="BC52" i="1"/>
  <c r="AX52" i="1"/>
  <c r="AS52" i="1"/>
  <c r="AN52" i="1"/>
  <c r="AI52" i="1"/>
  <c r="AD52" i="1"/>
  <c r="Y52" i="1"/>
  <c r="U52" i="1"/>
  <c r="A52" i="1"/>
  <c r="CB51" i="1"/>
  <c r="BR51" i="1"/>
  <c r="BC51" i="1"/>
  <c r="AX51" i="1"/>
  <c r="AS51" i="1"/>
  <c r="AN51" i="1"/>
  <c r="AI51" i="1"/>
  <c r="AD51" i="1"/>
  <c r="Y51" i="1"/>
  <c r="U51" i="1"/>
  <c r="A51" i="1"/>
  <c r="CB50" i="1"/>
  <c r="BR50" i="1"/>
  <c r="BC50" i="1"/>
  <c r="AX50" i="1"/>
  <c r="AS50" i="1"/>
  <c r="AN50" i="1"/>
  <c r="AI50" i="1"/>
  <c r="AD50" i="1"/>
  <c r="Y50" i="1"/>
  <c r="A50" i="1"/>
  <c r="Y36" i="1"/>
  <c r="A36" i="1"/>
  <c r="Y35" i="1"/>
  <c r="A35" i="1"/>
  <c r="Y34" i="1"/>
  <c r="A34" i="1"/>
  <c r="Y33" i="1"/>
  <c r="A33" i="1"/>
  <c r="Y32" i="1"/>
  <c r="A32" i="1"/>
  <c r="Y19" i="1"/>
  <c r="U19" i="1"/>
  <c r="A19" i="1"/>
  <c r="Y20" i="1"/>
  <c r="U20" i="1"/>
  <c r="A20" i="1"/>
  <c r="Y21" i="1"/>
  <c r="U21" i="1"/>
  <c r="A21" i="1"/>
  <c r="Y22" i="1"/>
  <c r="U22" i="1"/>
  <c r="A22" i="1"/>
  <c r="CQ23" i="1"/>
  <c r="CL23" i="1"/>
  <c r="CB23" i="1"/>
  <c r="BR23" i="1"/>
  <c r="BM23" i="1"/>
  <c r="BH23" i="1"/>
  <c r="BC23" i="1"/>
  <c r="AX23" i="1"/>
  <c r="AS23" i="1"/>
  <c r="AN23" i="1"/>
  <c r="AI23" i="1"/>
  <c r="AD23" i="1"/>
  <c r="Y23" i="1"/>
  <c r="U23" i="1"/>
  <c r="A23" i="1"/>
  <c r="DC11" i="1"/>
  <c r="AG10" i="5" s="1"/>
  <c r="DC12" i="1"/>
  <c r="AG13" i="5" s="1"/>
  <c r="DC13" i="1"/>
  <c r="AN16" i="5" s="1"/>
  <c r="DC14" i="1"/>
  <c r="X19" i="5" s="1"/>
  <c r="DC15" i="1"/>
  <c r="X22" i="5" s="1"/>
  <c r="DD11" i="1"/>
  <c r="CW11" i="1"/>
  <c r="DA11" i="1"/>
  <c r="DJ11" i="1"/>
  <c r="AJ11" i="5" s="1"/>
  <c r="AS11" i="5" s="1"/>
  <c r="DA13" i="1"/>
  <c r="DG13" i="1"/>
  <c r="R17" i="5" s="1"/>
  <c r="DJ13" i="1"/>
  <c r="CW14" i="1"/>
  <c r="DA14" i="1"/>
  <c r="DJ14" i="1"/>
  <c r="CV15" i="1"/>
  <c r="S22" i="5" s="1"/>
  <c r="CW15" i="1"/>
  <c r="DA15" i="1"/>
  <c r="DG15" i="1"/>
  <c r="R23" i="5" s="1"/>
  <c r="DJ15" i="1"/>
  <c r="DG16" i="1"/>
  <c r="S26" i="5" s="1"/>
  <c r="DJ16" i="1"/>
  <c r="DG17" i="1"/>
  <c r="R29" i="5" s="1"/>
  <c r="DJ17" i="1"/>
  <c r="AD25" i="1"/>
  <c r="AI25" i="1"/>
  <c r="AN25" i="1"/>
  <c r="AS25" i="1"/>
  <c r="AX25" i="1"/>
  <c r="BC25" i="1"/>
  <c r="BH25" i="1"/>
  <c r="BM25" i="1"/>
  <c r="BR25" i="1"/>
  <c r="CB25" i="1"/>
  <c r="CL25" i="1"/>
  <c r="CQ25" i="1"/>
  <c r="AD11" i="1"/>
  <c r="AI11" i="1"/>
  <c r="AN11" i="1"/>
  <c r="AO11" i="1" s="1"/>
  <c r="AP11" i="1" s="1"/>
  <c r="AQ11" i="1" s="1"/>
  <c r="AS11" i="1"/>
  <c r="AX11" i="1"/>
  <c r="BC11" i="1"/>
  <c r="BH11" i="1"/>
  <c r="BM11" i="1"/>
  <c r="BR11" i="1"/>
  <c r="CB11" i="1"/>
  <c r="CL11" i="1"/>
  <c r="CQ11" i="1"/>
  <c r="AD24" i="1"/>
  <c r="AI24" i="1"/>
  <c r="AN24" i="1"/>
  <c r="AS24" i="1"/>
  <c r="AX24" i="1"/>
  <c r="BC24" i="1"/>
  <c r="BH24" i="1"/>
  <c r="BM24" i="1"/>
  <c r="BR24" i="1"/>
  <c r="CB24" i="1"/>
  <c r="CL24" i="1"/>
  <c r="CQ24" i="1"/>
  <c r="AD29" i="1"/>
  <c r="AI29" i="1"/>
  <c r="AN29" i="1"/>
  <c r="AS29" i="1"/>
  <c r="AX29" i="1"/>
  <c r="BC29" i="1"/>
  <c r="BH29" i="1"/>
  <c r="BM29" i="1"/>
  <c r="BR29" i="1"/>
  <c r="CB29" i="1"/>
  <c r="AD30" i="1"/>
  <c r="AI30" i="1"/>
  <c r="AN30" i="1"/>
  <c r="AS30" i="1"/>
  <c r="AX30" i="1"/>
  <c r="BC30" i="1"/>
  <c r="BH30" i="1"/>
  <c r="BM30" i="1"/>
  <c r="BR30" i="1"/>
  <c r="CB30" i="1"/>
  <c r="AD31" i="1"/>
  <c r="AS31" i="1"/>
  <c r="AX31" i="1"/>
  <c r="BC31" i="1"/>
  <c r="BH31" i="1"/>
  <c r="BM31" i="1"/>
  <c r="BR31" i="1"/>
  <c r="CB31" i="1"/>
  <c r="AD41" i="1"/>
  <c r="AI41" i="1"/>
  <c r="AN41" i="1"/>
  <c r="AS41" i="1"/>
  <c r="AX41" i="1"/>
  <c r="BC41" i="1"/>
  <c r="BH41" i="1"/>
  <c r="BM41" i="1"/>
  <c r="BR41" i="1"/>
  <c r="CB41" i="1"/>
  <c r="AD42" i="1"/>
  <c r="AI42" i="1"/>
  <c r="AN42" i="1"/>
  <c r="AS42" i="1"/>
  <c r="AX42" i="1"/>
  <c r="BC42" i="1"/>
  <c r="BH42" i="1"/>
  <c r="BM42" i="1"/>
  <c r="BR42" i="1"/>
  <c r="CB42" i="1"/>
  <c r="AD43" i="1"/>
  <c r="AI43" i="1"/>
  <c r="AN43" i="1"/>
  <c r="AS43" i="1"/>
  <c r="AX43" i="1"/>
  <c r="BC43" i="1"/>
  <c r="BH43" i="1"/>
  <c r="BM43" i="1"/>
  <c r="BR43" i="1"/>
  <c r="CB43" i="1"/>
  <c r="AD47" i="1"/>
  <c r="AI47" i="1"/>
  <c r="AN47" i="1"/>
  <c r="AS47" i="1"/>
  <c r="AX47" i="1"/>
  <c r="BC47" i="1"/>
  <c r="BR47" i="1"/>
  <c r="CB47" i="1"/>
  <c r="AD48" i="1"/>
  <c r="AI48" i="1"/>
  <c r="AN48" i="1"/>
  <c r="AS48" i="1"/>
  <c r="AX48" i="1"/>
  <c r="BC48" i="1"/>
  <c r="BR48" i="1"/>
  <c r="CB48" i="1"/>
  <c r="AD49" i="1"/>
  <c r="AI49" i="1"/>
  <c r="AN49" i="1"/>
  <c r="AS49" i="1"/>
  <c r="AX49" i="1"/>
  <c r="BC49" i="1"/>
  <c r="BR49" i="1"/>
  <c r="CB49" i="1"/>
  <c r="AD55" i="1"/>
  <c r="AI55" i="1"/>
  <c r="AN55" i="1"/>
  <c r="AS55" i="1"/>
  <c r="AX55" i="1"/>
  <c r="BC55" i="1"/>
  <c r="BR55" i="1"/>
  <c r="CB55" i="1"/>
  <c r="AD56" i="1"/>
  <c r="AI56" i="1"/>
  <c r="AN56" i="1"/>
  <c r="AS56" i="1"/>
  <c r="AX56" i="1"/>
  <c r="BC56" i="1"/>
  <c r="BR56" i="1"/>
  <c r="CB56" i="1"/>
  <c r="AD57" i="1"/>
  <c r="AI57" i="1"/>
  <c r="AN57" i="1"/>
  <c r="AS57" i="1"/>
  <c r="AX57" i="1"/>
  <c r="BC57" i="1"/>
  <c r="BR57" i="1"/>
  <c r="CB57" i="1"/>
  <c r="AD58" i="1"/>
  <c r="AI58" i="1"/>
  <c r="AN58" i="1"/>
  <c r="AS58" i="1"/>
  <c r="AX58" i="1"/>
  <c r="BC58" i="1"/>
  <c r="BR58" i="1"/>
  <c r="CB58" i="1"/>
  <c r="AD59" i="1"/>
  <c r="AI59" i="1"/>
  <c r="AN59" i="1"/>
  <c r="AS59" i="1"/>
  <c r="AX59" i="1"/>
  <c r="BC59" i="1"/>
  <c r="BR59" i="1"/>
  <c r="CB59" i="1"/>
  <c r="AD60" i="1"/>
  <c r="AI60" i="1"/>
  <c r="AN60" i="1"/>
  <c r="AS60" i="1"/>
  <c r="AX60" i="1"/>
  <c r="BC60" i="1"/>
  <c r="BR60" i="1"/>
  <c r="CB60" i="1"/>
  <c r="AD61" i="1"/>
  <c r="AI61" i="1"/>
  <c r="AN61" i="1"/>
  <c r="AS61" i="1"/>
  <c r="AX61" i="1"/>
  <c r="BC61" i="1"/>
  <c r="BR61" i="1"/>
  <c r="CB61" i="1"/>
  <c r="AD65" i="1"/>
  <c r="AI65" i="1"/>
  <c r="AX65" i="1"/>
  <c r="BC65" i="1"/>
  <c r="BM65" i="1"/>
  <c r="AN65" i="1"/>
  <c r="AO65" i="1" s="1"/>
  <c r="AP65" i="1" s="1"/>
  <c r="AQ65" i="1" s="1"/>
  <c r="AS65" i="1"/>
  <c r="AD68" i="1"/>
  <c r="AI68" i="1"/>
  <c r="AX68" i="1"/>
  <c r="BC68" i="1"/>
  <c r="BM68" i="1"/>
  <c r="AN68" i="1"/>
  <c r="AO68" i="1" s="1"/>
  <c r="AS68" i="1"/>
  <c r="AD69" i="1"/>
  <c r="AI69" i="1"/>
  <c r="AX69" i="1"/>
  <c r="BC69" i="1"/>
  <c r="BM69" i="1"/>
  <c r="AN69" i="1"/>
  <c r="AO69" i="1" s="1"/>
  <c r="AP69" i="1" s="1"/>
  <c r="AQ69" i="1"/>
  <c r="AS69" i="1"/>
  <c r="AN73" i="1"/>
  <c r="AS73" i="1"/>
  <c r="AX73" i="1"/>
  <c r="BC73" i="1"/>
  <c r="AD84" i="1"/>
  <c r="AE84" i="1" s="1"/>
  <c r="AF84" i="1" s="1"/>
  <c r="AG84" i="1" s="1"/>
  <c r="AB84" i="1" s="1"/>
  <c r="AC84" i="1" s="1"/>
  <c r="AD92" i="1"/>
  <c r="AE92" i="1"/>
  <c r="AD93" i="1"/>
  <c r="DG18" i="1"/>
  <c r="AA32" i="5" s="1"/>
  <c r="DJ18" i="1"/>
  <c r="DK25" i="1"/>
  <c r="AD53" i="5" s="1"/>
  <c r="U53" i="5"/>
  <c r="DB25" i="1"/>
  <c r="U52" i="5" s="1"/>
  <c r="DK24" i="1"/>
  <c r="DB24" i="1"/>
  <c r="U49" i="5" s="1"/>
  <c r="DK18" i="1"/>
  <c r="U32" i="5" s="1"/>
  <c r="AF30" i="5"/>
  <c r="AE30" i="5"/>
  <c r="AD30" i="5"/>
  <c r="AB30" i="5"/>
  <c r="AA30" i="5"/>
  <c r="DK17" i="1"/>
  <c r="U29" i="5"/>
  <c r="AF27" i="5"/>
  <c r="AE27" i="5"/>
  <c r="AD27" i="5"/>
  <c r="AB27" i="5"/>
  <c r="AA27" i="5"/>
  <c r="DK16" i="1"/>
  <c r="DK15" i="1"/>
  <c r="AD23" i="5"/>
  <c r="CZ15" i="1"/>
  <c r="DI15" i="1" s="1"/>
  <c r="DD15" i="1"/>
  <c r="Y22" i="5" s="1"/>
  <c r="DB15" i="1"/>
  <c r="AD22" i="5" s="1"/>
  <c r="CX15" i="1"/>
  <c r="AF21" i="5"/>
  <c r="AE21" i="5"/>
  <c r="AD21" i="5"/>
  <c r="AB21" i="5"/>
  <c r="AA21" i="5"/>
  <c r="DK14" i="1"/>
  <c r="CZ14" i="1"/>
  <c r="DI14" i="1" s="1"/>
  <c r="DD14" i="1"/>
  <c r="AH19" i="5" s="1"/>
  <c r="DB14" i="1"/>
  <c r="CX14" i="1"/>
  <c r="AF18" i="5"/>
  <c r="AE18" i="5"/>
  <c r="AD18" i="5"/>
  <c r="AB18" i="5"/>
  <c r="AA18" i="5"/>
  <c r="DK13" i="1"/>
  <c r="DD13" i="1"/>
  <c r="Y16" i="5" s="1"/>
  <c r="DB13" i="1"/>
  <c r="AF15" i="5"/>
  <c r="AE15" i="5"/>
  <c r="AD15" i="5"/>
  <c r="AB15" i="5"/>
  <c r="AA15" i="5"/>
  <c r="DK12" i="1"/>
  <c r="CZ12" i="1"/>
  <c r="DI12" i="1" s="1"/>
  <c r="DD12" i="1"/>
  <c r="Y13" i="5" s="1"/>
  <c r="DB12" i="1"/>
  <c r="AD13" i="5" s="1"/>
  <c r="CX12" i="1"/>
  <c r="AF12" i="5"/>
  <c r="AE12" i="5"/>
  <c r="AD12" i="5"/>
  <c r="AB12" i="5"/>
  <c r="AA12" i="5"/>
  <c r="DK11" i="1"/>
  <c r="U11" i="5" s="1"/>
  <c r="CZ11" i="1"/>
  <c r="DB11" i="1"/>
  <c r="U10" i="5" s="1"/>
  <c r="CX11" i="1"/>
  <c r="AF9" i="5"/>
  <c r="AE9" i="5"/>
  <c r="AD9" i="5"/>
  <c r="AB9" i="5"/>
  <c r="AA9" i="5"/>
  <c r="W30" i="5"/>
  <c r="V30" i="5"/>
  <c r="U30" i="5"/>
  <c r="S30" i="5"/>
  <c r="R30" i="5"/>
  <c r="W27" i="5"/>
  <c r="V27" i="5"/>
  <c r="U27" i="5"/>
  <c r="S27" i="5"/>
  <c r="R27" i="5"/>
  <c r="W21" i="5"/>
  <c r="V21" i="5"/>
  <c r="U21" i="5"/>
  <c r="S21" i="5"/>
  <c r="R21" i="5"/>
  <c r="W18" i="5"/>
  <c r="V18" i="5"/>
  <c r="U18" i="5"/>
  <c r="S18" i="5"/>
  <c r="W15" i="5"/>
  <c r="V15" i="5"/>
  <c r="U15" i="5"/>
  <c r="S15" i="5"/>
  <c r="W12" i="5"/>
  <c r="V12" i="5"/>
  <c r="U12" i="5"/>
  <c r="S12" i="5"/>
  <c r="W9" i="5"/>
  <c r="V9" i="5"/>
  <c r="U9" i="5"/>
  <c r="S9" i="5"/>
  <c r="R9" i="5"/>
  <c r="E9" i="5"/>
  <c r="CQ10" i="1"/>
  <c r="CL10" i="1"/>
  <c r="CG10" i="1"/>
  <c r="Y18" i="1"/>
  <c r="Y11" i="1"/>
  <c r="B8" i="5"/>
  <c r="Y25" i="1"/>
  <c r="U25" i="1"/>
  <c r="A25" i="1"/>
  <c r="Y24" i="1"/>
  <c r="U24" i="1"/>
  <c r="A24" i="1"/>
  <c r="A18" i="1"/>
  <c r="Y17" i="1"/>
  <c r="A17" i="1"/>
  <c r="Y16" i="1"/>
  <c r="A16" i="1"/>
  <c r="Y15" i="1"/>
  <c r="A15" i="1"/>
  <c r="Y14" i="1"/>
  <c r="A14" i="1"/>
  <c r="Y13" i="1"/>
  <c r="A13" i="1"/>
  <c r="Y12" i="1"/>
  <c r="A12" i="1"/>
  <c r="A11" i="1"/>
  <c r="CB10" i="1"/>
  <c r="BW10" i="1"/>
  <c r="BR10" i="1"/>
  <c r="BM10" i="1"/>
  <c r="BH10" i="1"/>
  <c r="BC10" i="1"/>
  <c r="AX10" i="1"/>
  <c r="AS10" i="1"/>
  <c r="AN10" i="1"/>
  <c r="AI10" i="1"/>
  <c r="AD10" i="1"/>
  <c r="AD9" i="1"/>
  <c r="AB9" i="1"/>
  <c r="G3" i="5"/>
  <c r="G2" i="5"/>
  <c r="AA103" i="5"/>
  <c r="AA71" i="5"/>
  <c r="AB71" i="5"/>
  <c r="AD71" i="5"/>
  <c r="AA55" i="5"/>
  <c r="AB55" i="5"/>
  <c r="AD55" i="5"/>
  <c r="AE55" i="5"/>
  <c r="AF55" i="5"/>
  <c r="R103" i="5"/>
  <c r="E103" i="5"/>
  <c r="R71" i="5"/>
  <c r="S71" i="5"/>
  <c r="U71" i="5"/>
  <c r="R55" i="5"/>
  <c r="E55" i="5"/>
  <c r="S55" i="5"/>
  <c r="U55" i="5"/>
  <c r="V55" i="5"/>
  <c r="W55" i="5"/>
  <c r="R87" i="5"/>
  <c r="S87" i="5"/>
  <c r="U87" i="5"/>
  <c r="W87" i="5"/>
  <c r="T87" i="5"/>
  <c r="R93" i="5"/>
  <c r="T93" i="5"/>
  <c r="S93" i="5"/>
  <c r="U93" i="5"/>
  <c r="AA93" i="5"/>
  <c r="AC93" i="5"/>
  <c r="AD93" i="5"/>
  <c r="AA87" i="5"/>
  <c r="AB87" i="5"/>
  <c r="AD87" i="5"/>
  <c r="AF87" i="5"/>
  <c r="AC87" i="5"/>
  <c r="B86" i="5"/>
  <c r="U93" i="1"/>
  <c r="U92" i="1"/>
  <c r="AD83" i="1"/>
  <c r="Y93" i="1"/>
  <c r="Y92" i="1"/>
  <c r="Y84" i="1"/>
  <c r="BC72" i="1"/>
  <c r="AX72" i="1"/>
  <c r="AS72" i="1"/>
  <c r="AN72" i="1"/>
  <c r="AI72" i="1"/>
  <c r="U82" i="1"/>
  <c r="U81" i="1"/>
  <c r="A93" i="1"/>
  <c r="A92" i="1"/>
  <c r="A84" i="1"/>
  <c r="A82" i="1"/>
  <c r="A81" i="1"/>
  <c r="A80" i="1"/>
  <c r="A76" i="1"/>
  <c r="A73" i="1"/>
  <c r="A65" i="1"/>
  <c r="A69" i="1"/>
  <c r="A68" i="1"/>
  <c r="U69" i="1"/>
  <c r="U68" i="1"/>
  <c r="U61" i="1"/>
  <c r="U60" i="1"/>
  <c r="U59" i="1"/>
  <c r="U58" i="1"/>
  <c r="U57" i="1"/>
  <c r="U56" i="1"/>
  <c r="U55" i="1"/>
  <c r="U43" i="1"/>
  <c r="U42" i="1"/>
  <c r="U41" i="1"/>
  <c r="U40" i="1"/>
  <c r="BM64" i="1"/>
  <c r="BC64" i="1"/>
  <c r="AX64" i="1"/>
  <c r="AS64" i="1"/>
  <c r="AN64" i="1"/>
  <c r="AI64" i="1"/>
  <c r="AD64" i="1"/>
  <c r="Y69" i="1"/>
  <c r="Y68" i="1"/>
  <c r="Y65" i="1"/>
  <c r="CB46" i="1"/>
  <c r="BR46" i="1"/>
  <c r="BC46" i="1"/>
  <c r="AX46" i="1"/>
  <c r="AS46" i="1"/>
  <c r="AN46" i="1"/>
  <c r="AI46" i="1"/>
  <c r="AD46" i="1"/>
  <c r="Y61" i="1"/>
  <c r="Y60" i="1"/>
  <c r="Y59" i="1"/>
  <c r="Y58" i="1"/>
  <c r="Y57" i="1"/>
  <c r="Y56" i="1"/>
  <c r="Y55" i="1"/>
  <c r="Y49" i="1"/>
  <c r="Y48" i="1"/>
  <c r="Y47" i="1"/>
  <c r="AD27" i="1"/>
  <c r="AB27" i="1" s="1"/>
  <c r="CB28" i="1"/>
  <c r="BW28" i="1"/>
  <c r="BR28" i="1"/>
  <c r="BM28" i="1"/>
  <c r="BH28" i="1"/>
  <c r="BC28" i="1"/>
  <c r="AX28" i="1"/>
  <c r="AS28" i="1"/>
  <c r="AN28" i="1"/>
  <c r="AI28" i="1"/>
  <c r="AD28" i="1"/>
  <c r="Y43" i="1"/>
  <c r="Y42" i="1"/>
  <c r="Y41" i="1"/>
  <c r="Y40" i="1"/>
  <c r="Y39" i="1"/>
  <c r="Y38" i="1"/>
  <c r="Y37" i="1"/>
  <c r="Y31" i="1"/>
  <c r="Y30" i="1"/>
  <c r="Y29" i="1"/>
  <c r="A57" i="1"/>
  <c r="A58" i="1"/>
  <c r="A59" i="1"/>
  <c r="A60" i="1"/>
  <c r="A61" i="1"/>
  <c r="A56" i="1"/>
  <c r="A55" i="1"/>
  <c r="A49" i="1"/>
  <c r="A48" i="1"/>
  <c r="A47" i="1"/>
  <c r="A29" i="1"/>
  <c r="B92" i="5"/>
  <c r="B70" i="5"/>
  <c r="B54" i="5"/>
  <c r="G5" i="5"/>
  <c r="A43" i="1"/>
  <c r="A42" i="1"/>
  <c r="A41" i="1"/>
  <c r="A40" i="1"/>
  <c r="A39" i="1"/>
  <c r="A38" i="1"/>
  <c r="A37" i="1"/>
  <c r="A31" i="1"/>
  <c r="A30" i="1"/>
  <c r="G111" i="5"/>
  <c r="M111" i="5"/>
  <c r="D111" i="5" s="1"/>
  <c r="AD32" i="5"/>
  <c r="U43" i="5"/>
  <c r="E99" i="5"/>
  <c r="X80" i="1"/>
  <c r="U80" i="1"/>
  <c r="X39" i="1"/>
  <c r="X49" i="1"/>
  <c r="U49" i="1"/>
  <c r="U39" i="1"/>
  <c r="U48" i="1"/>
  <c r="X48" i="1"/>
  <c r="U79" i="1"/>
  <c r="X79" i="1"/>
  <c r="AV48" i="5"/>
  <c r="AU48" i="5" s="1"/>
  <c r="G107" i="5"/>
  <c r="AV81" i="5"/>
  <c r="AU81" i="5" s="1"/>
  <c r="X66" i="1"/>
  <c r="G42" i="5"/>
  <c r="U44" i="5"/>
  <c r="X86" i="1"/>
  <c r="X50" i="1"/>
  <c r="U66" i="1"/>
  <c r="U50" i="1"/>
  <c r="U85" i="1"/>
  <c r="G37" i="5"/>
  <c r="G55" i="5"/>
  <c r="E85" i="5"/>
  <c r="AT66" i="1"/>
  <c r="AU66" i="1"/>
  <c r="AV66" i="1" s="1"/>
  <c r="E63" i="5"/>
  <c r="E62" i="5"/>
  <c r="U32" i="1"/>
  <c r="U37" i="1"/>
  <c r="X37" i="1"/>
  <c r="X32" i="1"/>
  <c r="X35" i="1"/>
  <c r="G108" i="5"/>
  <c r="AV108" i="5" s="1"/>
  <c r="AU108" i="5" s="1"/>
  <c r="G33" i="5"/>
  <c r="N33" i="5" s="1"/>
  <c r="F33" i="5" s="1"/>
  <c r="O33" i="5" s="1"/>
  <c r="H33" i="5" s="1"/>
  <c r="G45" i="5"/>
  <c r="G91" i="5"/>
  <c r="AT68" i="1"/>
  <c r="AU68" i="1" s="1"/>
  <c r="AV68" i="1" s="1"/>
  <c r="AO67" i="1"/>
  <c r="AP67" i="1" s="1"/>
  <c r="AQ67" i="1" s="1"/>
  <c r="AT67" i="1"/>
  <c r="AU67" i="1"/>
  <c r="AV67" i="1" s="1"/>
  <c r="X31" i="1"/>
  <c r="X38" i="1"/>
  <c r="X36" i="1"/>
  <c r="U35" i="1"/>
  <c r="X34" i="1"/>
  <c r="U33" i="1"/>
  <c r="X33" i="1"/>
  <c r="U38" i="1"/>
  <c r="U36" i="1"/>
  <c r="U34" i="1"/>
  <c r="U31" i="1"/>
  <c r="N81" i="5"/>
  <c r="F81" i="5" s="1"/>
  <c r="O81" i="5" s="1"/>
  <c r="H81" i="5" s="1"/>
  <c r="N60" i="5"/>
  <c r="F60" i="5" s="1"/>
  <c r="O60" i="5" s="1"/>
  <c r="H60" i="5" s="1"/>
  <c r="M60" i="5"/>
  <c r="D60" i="5" s="1"/>
  <c r="E83" i="5"/>
  <c r="E21" i="5"/>
  <c r="U25" i="5"/>
  <c r="AD52" i="5"/>
  <c r="G65" i="5"/>
  <c r="N65" i="5"/>
  <c r="F65" i="5" s="1"/>
  <c r="O65" i="5" s="1"/>
  <c r="H65" i="5" s="1"/>
  <c r="G106" i="5"/>
  <c r="G89" i="5"/>
  <c r="L89" i="5" s="1"/>
  <c r="C89" i="5" s="1"/>
  <c r="M89" i="5"/>
  <c r="D89" i="5" s="1"/>
  <c r="G69" i="5"/>
  <c r="L69" i="5" s="1"/>
  <c r="C69" i="5" s="1"/>
  <c r="L110" i="5"/>
  <c r="C110" i="5" s="1"/>
  <c r="G57" i="5"/>
  <c r="N57" i="5" s="1"/>
  <c r="F57" i="5" s="1"/>
  <c r="O57" i="5" s="1"/>
  <c r="H57" i="5" s="1"/>
  <c r="M57" i="5"/>
  <c r="D57" i="5" s="1"/>
  <c r="E102" i="5"/>
  <c r="G76" i="5"/>
  <c r="AV76" i="5"/>
  <c r="AU76" i="5" s="1"/>
  <c r="G77" i="5"/>
  <c r="AV77" i="5" s="1"/>
  <c r="AU77" i="5" s="1"/>
  <c r="DF76" i="4"/>
  <c r="DH76" i="4" s="1"/>
  <c r="E49" i="5"/>
  <c r="G49" i="5"/>
  <c r="M49" i="5" s="1"/>
  <c r="D49" i="5" s="1"/>
  <c r="L49" i="5"/>
  <c r="C49" i="5" s="1"/>
  <c r="AV61" i="5"/>
  <c r="AU61" i="5" s="1"/>
  <c r="L61" i="5"/>
  <c r="C61" i="5" s="1"/>
  <c r="M61" i="5"/>
  <c r="D61" i="5" s="1"/>
  <c r="E61" i="5"/>
  <c r="G73" i="5"/>
  <c r="U23" i="5"/>
  <c r="N64" i="5"/>
  <c r="F64" i="5" s="1"/>
  <c r="O64" i="5" s="1"/>
  <c r="H64" i="5" s="1"/>
  <c r="N42" i="5"/>
  <c r="F42" i="5" s="1"/>
  <c r="O42" i="5" s="1"/>
  <c r="H42" i="5" s="1"/>
  <c r="E98" i="5"/>
  <c r="G109" i="5"/>
  <c r="AV109" i="5" s="1"/>
  <c r="AU109" i="5" s="1"/>
  <c r="N109" i="5"/>
  <c r="F109" i="5" s="1"/>
  <c r="O109" i="5" s="1"/>
  <c r="H109" i="5" s="1"/>
  <c r="AD49" i="5"/>
  <c r="E60" i="5"/>
  <c r="AV60" i="5"/>
  <c r="AU60" i="5" s="1"/>
  <c r="E97" i="5"/>
  <c r="AV64" i="5"/>
  <c r="AU64" i="5" s="1"/>
  <c r="G36" i="5"/>
  <c r="N36" i="5" s="1"/>
  <c r="F36" i="5" s="1"/>
  <c r="O36" i="5" s="1"/>
  <c r="H36" i="5" s="1"/>
  <c r="L36" i="5"/>
  <c r="C36" i="5" s="1"/>
  <c r="E95" i="5"/>
  <c r="G84" i="5"/>
  <c r="N84" i="5" s="1"/>
  <c r="F84" i="5" s="1"/>
  <c r="O84" i="5" s="1"/>
  <c r="H84" i="5" s="1"/>
  <c r="AV84" i="5"/>
  <c r="AU84" i="5" s="1"/>
  <c r="N48" i="5"/>
  <c r="F48" i="5" s="1"/>
  <c r="O48" i="5" s="1"/>
  <c r="H48" i="5" s="1"/>
  <c r="L42" i="5"/>
  <c r="C42" i="5" s="1"/>
  <c r="L48" i="5"/>
  <c r="C48" i="5" s="1"/>
  <c r="N111" i="5"/>
  <c r="F111" i="5" s="1"/>
  <c r="O111" i="5" s="1"/>
  <c r="H111" i="5" s="1"/>
  <c r="E30" i="5"/>
  <c r="G31" i="5"/>
  <c r="N99" i="5"/>
  <c r="F99" i="5" s="1"/>
  <c r="O99" i="5" s="1"/>
  <c r="H99" i="5" s="1"/>
  <c r="L99" i="5"/>
  <c r="C99" i="5" s="1"/>
  <c r="AV99" i="5"/>
  <c r="AU99" i="5" s="1"/>
  <c r="E78" i="5"/>
  <c r="G72" i="5"/>
  <c r="M72" i="5" s="1"/>
  <c r="D72" i="5" s="1"/>
  <c r="AV72" i="5"/>
  <c r="AU72" i="5" s="1"/>
  <c r="M106" i="5"/>
  <c r="D106" i="5" s="1"/>
  <c r="L74" i="5"/>
  <c r="C74" i="5" s="1"/>
  <c r="M74" i="5"/>
  <c r="D74" i="5" s="1"/>
  <c r="E104" i="5"/>
  <c r="G82" i="5"/>
  <c r="G100" i="5"/>
  <c r="N100" i="5"/>
  <c r="F100" i="5" s="1"/>
  <c r="O100" i="5" s="1"/>
  <c r="H100" i="5" s="1"/>
  <c r="E56" i="5"/>
  <c r="E24" i="5"/>
  <c r="M48" i="5"/>
  <c r="D48" i="5" s="1"/>
  <c r="M81" i="5"/>
  <c r="D81" i="5" s="1"/>
  <c r="M18" i="5"/>
  <c r="D18" i="5" s="1"/>
  <c r="L62" i="5"/>
  <c r="C62" i="5" s="1"/>
  <c r="AV62" i="5"/>
  <c r="AU62" i="5" s="1"/>
  <c r="N62" i="5"/>
  <c r="F62" i="5" s="1"/>
  <c r="O62" i="5" s="1"/>
  <c r="H62" i="5" s="1"/>
  <c r="M62" i="5"/>
  <c r="D62" i="5" s="1"/>
  <c r="L63" i="5"/>
  <c r="C63" i="5" s="1"/>
  <c r="M63" i="5"/>
  <c r="D63" i="5" s="1"/>
  <c r="AV63" i="5"/>
  <c r="AU63" i="5" s="1"/>
  <c r="N63" i="5"/>
  <c r="F63" i="5" s="1"/>
  <c r="O63" i="5" s="1"/>
  <c r="H63" i="5" s="1"/>
  <c r="M102" i="5"/>
  <c r="D102" i="5" s="1"/>
  <c r="E96" i="5"/>
  <c r="M67" i="5"/>
  <c r="D67" i="5" s="1"/>
  <c r="L106" i="5"/>
  <c r="C106" i="5" s="1"/>
  <c r="L30" i="5"/>
  <c r="C30" i="5" s="1"/>
  <c r="N67" i="5"/>
  <c r="F67" i="5" s="1"/>
  <c r="O67" i="5" s="1"/>
  <c r="H67" i="5" s="1"/>
  <c r="E74" i="5"/>
  <c r="L24" i="5"/>
  <c r="C24" i="5" s="1"/>
  <c r="G68" i="5"/>
  <c r="M68" i="5" s="1"/>
  <c r="D68" i="5" s="1"/>
  <c r="AV111" i="5"/>
  <c r="AU111" i="5" s="1"/>
  <c r="E59" i="5"/>
  <c r="E64" i="5"/>
  <c r="E15" i="5"/>
  <c r="E87" i="5"/>
  <c r="L59" i="5"/>
  <c r="C59" i="5" s="1"/>
  <c r="M24" i="5"/>
  <c r="D24" i="5" s="1"/>
  <c r="E67" i="5"/>
  <c r="AV102" i="5"/>
  <c r="AU102" i="5" s="1"/>
  <c r="G105" i="5"/>
  <c r="N105" i="5"/>
  <c r="F105" i="5" s="1"/>
  <c r="O105" i="5" s="1"/>
  <c r="H105" i="5" s="1"/>
  <c r="G79" i="5"/>
  <c r="M79" i="5" s="1"/>
  <c r="D79" i="5" s="1"/>
  <c r="G51" i="5"/>
  <c r="M99" i="5"/>
  <c r="D99" i="5" s="1"/>
  <c r="DF244" i="4"/>
  <c r="DH244" i="4" s="1"/>
  <c r="AA38" i="5"/>
  <c r="G66" i="5"/>
  <c r="E18" i="5"/>
  <c r="L111" i="5"/>
  <c r="C111" i="5" s="1"/>
  <c r="G28" i="5"/>
  <c r="G96" i="5"/>
  <c r="L94" i="5"/>
  <c r="C94" i="5" s="1"/>
  <c r="M94" i="5"/>
  <c r="D94" i="5" s="1"/>
  <c r="E94" i="5"/>
  <c r="M15" i="5"/>
  <c r="D15" i="5" s="1"/>
  <c r="L15" i="5"/>
  <c r="C15" i="5" s="1"/>
  <c r="DX145" i="4"/>
  <c r="DZ145" i="4" s="1"/>
  <c r="M87" i="5"/>
  <c r="D87" i="5" s="1"/>
  <c r="L87" i="5"/>
  <c r="C87" i="5" s="1"/>
  <c r="E93" i="5"/>
  <c r="AP98" i="5"/>
  <c r="AP97" i="5"/>
  <c r="AK12" i="5"/>
  <c r="AK55" i="5"/>
  <c r="AN56" i="5"/>
  <c r="DF230" i="4"/>
  <c r="DH230" i="4" s="1"/>
  <c r="J92" i="5"/>
  <c r="H92" i="5" s="1"/>
  <c r="F92" i="5" s="1"/>
  <c r="G93" i="5"/>
  <c r="M93" i="5" s="1"/>
  <c r="D93" i="5" s="1"/>
  <c r="L103" i="5"/>
  <c r="C103" i="5" s="1"/>
  <c r="M103" i="5"/>
  <c r="D103" i="5" s="1"/>
  <c r="N72" i="5"/>
  <c r="F72" i="5" s="1"/>
  <c r="O72" i="5" s="1"/>
  <c r="H72" i="5" s="1"/>
  <c r="AV33" i="5"/>
  <c r="AU33" i="5" s="1"/>
  <c r="AV91" i="5"/>
  <c r="AU91" i="5" s="1"/>
  <c r="L76" i="5"/>
  <c r="C76" i="5" s="1"/>
  <c r="L104" i="5"/>
  <c r="C104" i="5" s="1"/>
  <c r="M104" i="5"/>
  <c r="D104" i="5" s="1"/>
  <c r="M84" i="5"/>
  <c r="D84" i="5" s="1"/>
  <c r="M73" i="5"/>
  <c r="D73" i="5" s="1"/>
  <c r="N49" i="5"/>
  <c r="F49" i="5" s="1"/>
  <c r="O49" i="5" s="1"/>
  <c r="H49" i="5" s="1"/>
  <c r="N37" i="5"/>
  <c r="F37" i="5" s="1"/>
  <c r="O37" i="5" s="1"/>
  <c r="H37" i="5" s="1"/>
  <c r="U28" i="5"/>
  <c r="AD29" i="5"/>
  <c r="U22" i="5"/>
  <c r="AD31" i="5"/>
  <c r="U31" i="5"/>
  <c r="G58" i="5"/>
  <c r="L58" i="5"/>
  <c r="C58" i="5" s="1"/>
  <c r="AV58" i="5"/>
  <c r="AU58" i="5" s="1"/>
  <c r="E58" i="5"/>
  <c r="G71" i="5"/>
  <c r="E71" i="5"/>
  <c r="AP68" i="1"/>
  <c r="AQ68" i="1" s="1"/>
  <c r="E12" i="5"/>
  <c r="E13" i="5"/>
  <c r="N83" i="5"/>
  <c r="F83" i="5" s="1"/>
  <c r="O83" i="5" s="1"/>
  <c r="H83" i="5" s="1"/>
  <c r="L83" i="5"/>
  <c r="C83" i="5" s="1"/>
  <c r="M83" i="5"/>
  <c r="D83" i="5" s="1"/>
  <c r="AV83" i="5"/>
  <c r="AU83" i="5" s="1"/>
  <c r="L108" i="5"/>
  <c r="C108" i="5" s="1"/>
  <c r="N76" i="5"/>
  <c r="F76" i="5" s="1"/>
  <c r="O76" i="5" s="1"/>
  <c r="H76" i="5" s="1"/>
  <c r="M76" i="5"/>
  <c r="D76" i="5" s="1"/>
  <c r="L68" i="5"/>
  <c r="C68" i="5" s="1"/>
  <c r="M110" i="5"/>
  <c r="D110" i="5" s="1"/>
  <c r="L109" i="5"/>
  <c r="C109" i="5" s="1"/>
  <c r="N68" i="5"/>
  <c r="F68" i="5" s="1"/>
  <c r="O68" i="5" s="1"/>
  <c r="H68" i="5" s="1"/>
  <c r="U84" i="1"/>
  <c r="E31" i="5"/>
  <c r="AA28" i="5"/>
  <c r="S28" i="5"/>
  <c r="E28" i="5"/>
  <c r="M21" i="5"/>
  <c r="D21" i="5" s="1"/>
  <c r="L21" i="5"/>
  <c r="C21" i="5" s="1"/>
  <c r="L88" i="5"/>
  <c r="C88" i="5" s="1"/>
  <c r="M88" i="5"/>
  <c r="D88" i="5" s="1"/>
  <c r="N88" i="5"/>
  <c r="F88" i="5" s="1"/>
  <c r="O88" i="5" s="1"/>
  <c r="H88" i="5" s="1"/>
  <c r="L95" i="5"/>
  <c r="C95" i="5" s="1"/>
  <c r="AV95" i="5"/>
  <c r="AU95" i="5" s="1"/>
  <c r="N95" i="5"/>
  <c r="F95" i="5" s="1"/>
  <c r="O95" i="5" s="1"/>
  <c r="H95" i="5" s="1"/>
  <c r="X75" i="1"/>
  <c r="M95" i="5"/>
  <c r="D95" i="5" s="1"/>
  <c r="M56" i="5"/>
  <c r="D56" i="5" s="1"/>
  <c r="L56" i="5"/>
  <c r="C56" i="5" s="1"/>
  <c r="M85" i="5"/>
  <c r="D85" i="5" s="1"/>
  <c r="AV85" i="5"/>
  <c r="AU85" i="5" s="1"/>
  <c r="N85" i="5"/>
  <c r="F85" i="5" s="1"/>
  <c r="O85" i="5" s="1"/>
  <c r="H85" i="5" s="1"/>
  <c r="L85" i="5"/>
  <c r="C85" i="5" s="1"/>
  <c r="M97" i="5"/>
  <c r="D97" i="5" s="1"/>
  <c r="L97" i="5"/>
  <c r="C97" i="5" s="1"/>
  <c r="N78" i="5"/>
  <c r="F78" i="5" s="1"/>
  <c r="O78" i="5" s="1"/>
  <c r="H78" i="5" s="1"/>
  <c r="M78" i="5"/>
  <c r="D78" i="5" s="1"/>
  <c r="L78" i="5"/>
  <c r="C78" i="5" s="1"/>
  <c r="AV78" i="5"/>
  <c r="AU78" i="5" s="1"/>
  <c r="L33" i="5"/>
  <c r="C33" i="5" s="1"/>
  <c r="L91" i="5"/>
  <c r="C91" i="5" s="1"/>
  <c r="M45" i="5"/>
  <c r="D45" i="5" s="1"/>
  <c r="M33" i="5"/>
  <c r="D33" i="5" s="1"/>
  <c r="AV101" i="5"/>
  <c r="AU101" i="5" s="1"/>
  <c r="N101" i="5"/>
  <c r="F101" i="5" s="1"/>
  <c r="O101" i="5" s="1"/>
  <c r="H101" i="5" s="1"/>
  <c r="L105" i="5"/>
  <c r="C105" i="5" s="1"/>
  <c r="M36" i="5"/>
  <c r="D36" i="5" s="1"/>
  <c r="L84" i="5"/>
  <c r="C84" i="5" s="1"/>
  <c r="AV105" i="5"/>
  <c r="AU105" i="5" s="1"/>
  <c r="AV36" i="5"/>
  <c r="AU36" i="5" s="1"/>
  <c r="M105" i="5"/>
  <c r="D105" i="5" s="1"/>
  <c r="N110" i="5"/>
  <c r="F110" i="5" s="1"/>
  <c r="O110" i="5" s="1"/>
  <c r="H110" i="5" s="1"/>
  <c r="AV89" i="5"/>
  <c r="AU89" i="5" s="1"/>
  <c r="AV65" i="5"/>
  <c r="AU65" i="5" s="1"/>
  <c r="L72" i="5"/>
  <c r="C72" i="5" s="1"/>
  <c r="AV110" i="5"/>
  <c r="AU110" i="5" s="1"/>
  <c r="N89" i="5"/>
  <c r="F89" i="5" s="1"/>
  <c r="O89" i="5" s="1"/>
  <c r="H89" i="5" s="1"/>
  <c r="AV49" i="5"/>
  <c r="AU49" i="5" s="1"/>
  <c r="M109" i="5"/>
  <c r="D109" i="5" s="1"/>
  <c r="N58" i="5"/>
  <c r="F58" i="5" s="1"/>
  <c r="O58" i="5" s="1"/>
  <c r="H58" i="5" s="1"/>
  <c r="L79" i="5"/>
  <c r="C79" i="5" s="1"/>
  <c r="AV100" i="5"/>
  <c r="AU100" i="5" s="1"/>
  <c r="AV31" i="5"/>
  <c r="AU31" i="5" s="1"/>
  <c r="L31" i="5"/>
  <c r="C31" i="5" s="1"/>
  <c r="M31" i="5"/>
  <c r="D31" i="5" s="1"/>
  <c r="M100" i="5"/>
  <c r="D100" i="5" s="1"/>
  <c r="M82" i="5"/>
  <c r="D82" i="5" s="1"/>
  <c r="AV82" i="5"/>
  <c r="AU82" i="5" s="1"/>
  <c r="L100" i="5"/>
  <c r="C100" i="5" s="1"/>
  <c r="AJ45" i="5"/>
  <c r="AS45" i="5" s="1"/>
  <c r="AJ57" i="5"/>
  <c r="AS57" i="5" s="1"/>
  <c r="AJ72" i="5"/>
  <c r="AS72" i="5" s="1"/>
  <c r="AJ27" i="5"/>
  <c r="AS27" i="5" s="1"/>
  <c r="AJ100" i="5"/>
  <c r="AS100" i="5" s="1"/>
  <c r="AJ30" i="5"/>
  <c r="AS30" i="5" s="1"/>
  <c r="AJ80" i="5"/>
  <c r="AS80" i="5" s="1"/>
  <c r="AJ63" i="5"/>
  <c r="AS63" i="5" s="1"/>
  <c r="AJ88" i="5"/>
  <c r="AS88" i="5" s="1"/>
  <c r="AJ111" i="5"/>
  <c r="AS111" i="5" s="1"/>
  <c r="AJ61" i="5"/>
  <c r="AS61" i="5" s="1"/>
  <c r="AJ103" i="5"/>
  <c r="AS103" i="5" s="1"/>
  <c r="AJ67" i="5"/>
  <c r="AS67" i="5" s="1"/>
  <c r="AJ24" i="5"/>
  <c r="AS24" i="5" s="1"/>
  <c r="AL55" i="5"/>
  <c r="AL18" i="5"/>
  <c r="AR9" i="5"/>
  <c r="AQ9" i="5" s="1"/>
  <c r="AR30" i="5"/>
  <c r="AQ30" i="5" s="1"/>
  <c r="AR45" i="5"/>
  <c r="AQ45" i="5" s="1"/>
  <c r="AR56" i="5"/>
  <c r="AQ56" i="5" s="1"/>
  <c r="AR63" i="5"/>
  <c r="AQ63" i="5" s="1"/>
  <c r="AR65" i="5"/>
  <c r="AQ65" i="5" s="1"/>
  <c r="AR69" i="5"/>
  <c r="AQ69" i="5" s="1"/>
  <c r="AP100" i="5"/>
  <c r="AP82" i="5"/>
  <c r="AP78" i="5"/>
  <c r="AR12" i="5"/>
  <c r="AQ12" i="5" s="1"/>
  <c r="AP99" i="5"/>
  <c r="AR33" i="5"/>
  <c r="AQ33" i="5" s="1"/>
  <c r="AR36" i="5"/>
  <c r="AQ36" i="5" s="1"/>
  <c r="AR48" i="5"/>
  <c r="AQ48" i="5" s="1"/>
  <c r="AR58" i="5"/>
  <c r="AQ58" i="5" s="1"/>
  <c r="AR59" i="5"/>
  <c r="AQ59" i="5" s="1"/>
  <c r="AP85" i="5"/>
  <c r="AP81" i="5"/>
  <c r="AP77" i="5"/>
  <c r="AR27" i="5"/>
  <c r="AQ27" i="5" s="1"/>
  <c r="AR39" i="5"/>
  <c r="AQ39" i="5" s="1"/>
  <c r="AR51" i="5"/>
  <c r="AQ51" i="5" s="1"/>
  <c r="AR57" i="5"/>
  <c r="AQ57" i="5" s="1"/>
  <c r="AR60" i="5"/>
  <c r="AQ60" i="5" s="1"/>
  <c r="AR67" i="5"/>
  <c r="AQ67" i="5" s="1"/>
  <c r="AP74" i="5"/>
  <c r="AP84" i="5"/>
  <c r="AP80" i="5"/>
  <c r="AP76" i="5"/>
  <c r="AR18" i="5"/>
  <c r="AQ18" i="5" s="1"/>
  <c r="AP72" i="5"/>
  <c r="AR24" i="5"/>
  <c r="AQ24" i="5" s="1"/>
  <c r="AR42" i="5"/>
  <c r="AQ42" i="5" s="1"/>
  <c r="AR61" i="5"/>
  <c r="AQ61" i="5" s="1"/>
  <c r="AR62" i="5"/>
  <c r="AQ62" i="5" s="1"/>
  <c r="AR64" i="5"/>
  <c r="AQ64" i="5" s="1"/>
  <c r="AR66" i="5"/>
  <c r="AQ66" i="5" s="1"/>
  <c r="AR68" i="5"/>
  <c r="AQ68" i="5" s="1"/>
  <c r="AP101" i="5"/>
  <c r="AP83" i="5"/>
  <c r="AP79" i="5"/>
  <c r="AP75" i="5"/>
  <c r="AP102" i="5"/>
  <c r="AR21" i="5"/>
  <c r="AQ21" i="5" s="1"/>
  <c r="AP73" i="5"/>
  <c r="AR55" i="5"/>
  <c r="AQ55" i="5" s="1"/>
  <c r="AR15" i="5"/>
  <c r="AQ15" i="5" s="1"/>
  <c r="AJ84" i="5"/>
  <c r="AS84" i="5" s="1"/>
  <c r="AJ76" i="5"/>
  <c r="AS76" i="5" s="1"/>
  <c r="N96" i="5"/>
  <c r="F96" i="5" s="1"/>
  <c r="O96" i="5" s="1"/>
  <c r="H96" i="5" s="1"/>
  <c r="X76" i="1"/>
  <c r="AP71" i="5"/>
  <c r="AP93" i="5"/>
  <c r="AO12" i="5"/>
  <c r="AJ97" i="5"/>
  <c r="AS97" i="5" s="1"/>
  <c r="N97" i="5"/>
  <c r="F97" i="5" s="1"/>
  <c r="O97" i="5" s="1"/>
  <c r="H97" i="5" s="1"/>
  <c r="X77" i="1"/>
  <c r="AJ65" i="5"/>
  <c r="AS65" i="5" s="1"/>
  <c r="AP95" i="5"/>
  <c r="AL42" i="5"/>
  <c r="AL68" i="5"/>
  <c r="AL58" i="5"/>
  <c r="AL45" i="5"/>
  <c r="AL36" i="5"/>
  <c r="AL51" i="5"/>
  <c r="AL67" i="5"/>
  <c r="AJ51" i="5"/>
  <c r="AS51" i="5" s="1"/>
  <c r="AJ94" i="5"/>
  <c r="AS94" i="5" s="1"/>
  <c r="N94" i="5"/>
  <c r="F94" i="5" s="1"/>
  <c r="O94" i="5" s="1"/>
  <c r="H94" i="5" s="1"/>
  <c r="X74" i="1"/>
  <c r="AJ79" i="5"/>
  <c r="AS79" i="5" s="1"/>
  <c r="AJ109" i="5"/>
  <c r="AS109" i="5" s="1"/>
  <c r="AJ110" i="5"/>
  <c r="AS110" i="5" s="1"/>
  <c r="AJ93" i="5"/>
  <c r="AS93" i="5" s="1"/>
  <c r="AL12" i="5"/>
  <c r="AL15" i="5"/>
  <c r="N98" i="5"/>
  <c r="F98" i="5" s="1"/>
  <c r="O98" i="5" s="1"/>
  <c r="H98" i="5" s="1"/>
  <c r="X78" i="1"/>
  <c r="AP94" i="5"/>
  <c r="AJ108" i="5"/>
  <c r="AS108" i="5" s="1"/>
  <c r="AJ60" i="5"/>
  <c r="AS60" i="5" s="1"/>
  <c r="AL33" i="5"/>
  <c r="AL66" i="5"/>
  <c r="AL61" i="5"/>
  <c r="AL27" i="5"/>
  <c r="AO56" i="5"/>
  <c r="AL89" i="5"/>
  <c r="AL39" i="5"/>
  <c r="AL65" i="5"/>
  <c r="AL87" i="5"/>
  <c r="AJ68" i="5"/>
  <c r="AS68" i="5" s="1"/>
  <c r="AJ81" i="5"/>
  <c r="AS81" i="5" s="1"/>
  <c r="AJ95" i="5"/>
  <c r="AS95" i="5" s="1"/>
  <c r="AL24" i="5"/>
  <c r="AL64" i="5"/>
  <c r="AL21" i="5"/>
  <c r="AL56" i="5"/>
  <c r="AL90" i="5"/>
  <c r="AL59" i="5"/>
  <c r="AJ90" i="5"/>
  <c r="AS90" i="5" s="1"/>
  <c r="AL30" i="5"/>
  <c r="AL63" i="5"/>
  <c r="AL60" i="5"/>
  <c r="AJ87" i="5"/>
  <c r="AS87" i="5" s="1"/>
  <c r="AJ36" i="5"/>
  <c r="AS36" i="5" s="1"/>
  <c r="AJ66" i="5"/>
  <c r="AS66" i="5" s="1"/>
  <c r="AJ107" i="5"/>
  <c r="AS107" i="5" s="1"/>
  <c r="AO55" i="5"/>
  <c r="AJ69" i="5"/>
  <c r="AS69" i="5" s="1"/>
  <c r="AP96" i="5"/>
  <c r="AL62" i="5"/>
  <c r="AL91" i="5"/>
  <c r="AK56" i="5"/>
  <c r="AL69" i="5"/>
  <c r="AL48" i="5"/>
  <c r="AL57" i="5"/>
  <c r="AL88" i="5"/>
  <c r="M58" i="5"/>
  <c r="D58" i="5" s="1"/>
  <c r="AJ12" i="5"/>
  <c r="AS12" i="5" s="1"/>
  <c r="N28" i="5"/>
  <c r="F28" i="5" s="1"/>
  <c r="O28" i="5" s="1"/>
  <c r="H28" i="5" s="1"/>
  <c r="L28" i="5"/>
  <c r="C28" i="5" s="1"/>
  <c r="AV28" i="5"/>
  <c r="AU28" i="5" s="1"/>
  <c r="M28" i="5"/>
  <c r="D28" i="5" s="1"/>
  <c r="L66" i="5"/>
  <c r="C66" i="5" s="1"/>
  <c r="AV97" i="5"/>
  <c r="AU97" i="5" s="1"/>
  <c r="AV94" i="5"/>
  <c r="AU94" i="5" s="1"/>
  <c r="AN27" i="5"/>
  <c r="AN48" i="5"/>
  <c r="AK65" i="5"/>
  <c r="AO67" i="5"/>
  <c r="AO18" i="5"/>
  <c r="AK24" i="5"/>
  <c r="AO36" i="5"/>
  <c r="AO48" i="5"/>
  <c r="AN69" i="5"/>
  <c r="AN84" i="5"/>
  <c r="AO64" i="5"/>
  <c r="AN39" i="5"/>
  <c r="AN59" i="5"/>
  <c r="AN64" i="5"/>
  <c r="AN74" i="5"/>
  <c r="AO21" i="5"/>
  <c r="AN58" i="5"/>
  <c r="AO30" i="5"/>
  <c r="AK42" i="5"/>
  <c r="AN62" i="5"/>
  <c r="AN79" i="5"/>
  <c r="AO68" i="5"/>
  <c r="AK61" i="5"/>
  <c r="AO15" i="5"/>
  <c r="AJ55" i="5"/>
  <c r="AS55" i="5" s="1"/>
  <c r="AJ56" i="5"/>
  <c r="AS56" i="5" s="1"/>
  <c r="AN42" i="5"/>
  <c r="AK64" i="5"/>
  <c r="AN75" i="5"/>
  <c r="AO61" i="5"/>
  <c r="AN71" i="5"/>
  <c r="AO33" i="5"/>
  <c r="AK45" i="5"/>
  <c r="AK67" i="5"/>
  <c r="AN82" i="5"/>
  <c r="AK15" i="5"/>
  <c r="AK27" i="5"/>
  <c r="AK57" i="5"/>
  <c r="AN63" i="5"/>
  <c r="AN68" i="5"/>
  <c r="AO65" i="5"/>
  <c r="AO63" i="5"/>
  <c r="AN30" i="5"/>
  <c r="AO39" i="5"/>
  <c r="AO51" i="5"/>
  <c r="AN77" i="5"/>
  <c r="AN85" i="5"/>
  <c r="AN72" i="5"/>
  <c r="AK60" i="5"/>
  <c r="AN36" i="5"/>
  <c r="AK63" i="5"/>
  <c r="AK68" i="5"/>
  <c r="AN57" i="5"/>
  <c r="AO60" i="5"/>
  <c r="AN33" i="5"/>
  <c r="AO42" i="5"/>
  <c r="AK62" i="5"/>
  <c r="AN80" i="5"/>
  <c r="AN15" i="5"/>
  <c r="AN24" i="5"/>
  <c r="AN51" i="5"/>
  <c r="AN61" i="5"/>
  <c r="AN66" i="5"/>
  <c r="AO69" i="5"/>
  <c r="AN18" i="5"/>
  <c r="AO24" i="5"/>
  <c r="AK36" i="5"/>
  <c r="AK48" i="5"/>
  <c r="AK69" i="5"/>
  <c r="AN83" i="5"/>
  <c r="AN73" i="5"/>
  <c r="AO58" i="5"/>
  <c r="AO27" i="5"/>
  <c r="AK59" i="5"/>
  <c r="AK66" i="5"/>
  <c r="AO59" i="5"/>
  <c r="AK58" i="5"/>
  <c r="AK30" i="5"/>
  <c r="AK39" i="5"/>
  <c r="AK51" i="5"/>
  <c r="AN78" i="5"/>
  <c r="AO66" i="5"/>
  <c r="AN21" i="5"/>
  <c r="AN45" i="5"/>
  <c r="AN60" i="5"/>
  <c r="AN65" i="5"/>
  <c r="AN76" i="5"/>
  <c r="AK21" i="5"/>
  <c r="AO57" i="5"/>
  <c r="AK33" i="5"/>
  <c r="AO45" i="5"/>
  <c r="AN67" i="5"/>
  <c r="AN81" i="5"/>
  <c r="AO62" i="5"/>
  <c r="AK18" i="5"/>
  <c r="AV87" i="5"/>
  <c r="AU87" i="5" s="1"/>
  <c r="N87" i="5"/>
  <c r="F87" i="5" s="1"/>
  <c r="O87" i="5" s="1"/>
  <c r="H87" i="5" s="1"/>
  <c r="X65" i="1"/>
  <c r="AN12" i="5"/>
  <c r="AN55" i="5"/>
  <c r="U47" i="1"/>
  <c r="U15" i="1"/>
  <c r="U29" i="1"/>
  <c r="U12" i="1"/>
  <c r="U16" i="1"/>
  <c r="U18" i="1"/>
  <c r="U17" i="1"/>
  <c r="U13" i="1"/>
  <c r="U65" i="1"/>
  <c r="L71" i="5"/>
  <c r="C71" i="5" s="1"/>
  <c r="M71" i="5"/>
  <c r="D71" i="5" s="1"/>
  <c r="AV104" i="5"/>
  <c r="AU104" i="5" s="1"/>
  <c r="N104" i="5"/>
  <c r="F104" i="5" s="1"/>
  <c r="O104" i="5" s="1"/>
  <c r="H104" i="5" s="1"/>
  <c r="X85" i="1"/>
  <c r="N31" i="5"/>
  <c r="F31" i="5" s="1"/>
  <c r="O31" i="5" s="1"/>
  <c r="H31" i="5" s="1"/>
  <c r="AV103" i="5"/>
  <c r="AU103" i="5" s="1"/>
  <c r="N103" i="5"/>
  <c r="F103" i="5" s="1"/>
  <c r="O103" i="5" s="1"/>
  <c r="H103" i="5" s="1"/>
  <c r="X84" i="1"/>
  <c r="U14" i="1"/>
  <c r="X12" i="1"/>
  <c r="AV98" i="5"/>
  <c r="AU98" i="5" s="1"/>
  <c r="U78" i="1"/>
  <c r="U75" i="1"/>
  <c r="U77" i="1"/>
  <c r="U76" i="1"/>
  <c r="U74" i="1"/>
  <c r="N55" i="5"/>
  <c r="F55" i="5" s="1"/>
  <c r="O55" i="5" s="1"/>
  <c r="H55" i="5" s="1"/>
  <c r="AV71" i="5"/>
  <c r="AU71" i="5" s="1"/>
  <c r="N71" i="5"/>
  <c r="F71" i="5" s="1"/>
  <c r="O71" i="5" s="1"/>
  <c r="H71" i="5" s="1"/>
  <c r="X47" i="1"/>
  <c r="U30" i="1"/>
  <c r="N56" i="5"/>
  <c r="F56" i="5" s="1"/>
  <c r="O56" i="5" s="1"/>
  <c r="H56" i="5" s="1"/>
  <c r="X30" i="1"/>
  <c r="AV56" i="5"/>
  <c r="AU56" i="5" s="1"/>
  <c r="U73" i="1"/>
  <c r="AV30" i="5"/>
  <c r="AU30" i="5" s="1"/>
  <c r="N30" i="5"/>
  <c r="F30" i="5" s="1"/>
  <c r="O30" i="5" s="1"/>
  <c r="H30" i="5" s="1"/>
  <c r="X18" i="1"/>
  <c r="X17" i="1"/>
  <c r="AV24" i="5"/>
  <c r="AU24" i="5" s="1"/>
  <c r="N24" i="5"/>
  <c r="F24" i="5" s="1"/>
  <c r="O24" i="5" s="1"/>
  <c r="H24" i="5" s="1"/>
  <c r="N18" i="5"/>
  <c r="F18" i="5" s="1"/>
  <c r="O18" i="5" s="1"/>
  <c r="H18" i="5" s="1"/>
  <c r="AV18" i="5"/>
  <c r="AU18" i="5" s="1"/>
  <c r="N21" i="5"/>
  <c r="F21" i="5" s="1"/>
  <c r="O21" i="5" s="1"/>
  <c r="H21" i="5" s="1"/>
  <c r="X15" i="1"/>
  <c r="AV21" i="5"/>
  <c r="AU21" i="5" s="1"/>
  <c r="N15" i="5"/>
  <c r="F15" i="5" s="1"/>
  <c r="O15" i="5" s="1"/>
  <c r="H15" i="5" s="1"/>
  <c r="X13" i="1"/>
  <c r="AV15" i="5"/>
  <c r="AU15" i="5" s="1"/>
  <c r="X73" i="1"/>
  <c r="X29" i="1"/>
  <c r="X14" i="1"/>
  <c r="X16" i="1"/>
  <c r="S38" i="5"/>
  <c r="AH43" i="5"/>
  <c r="DF67" i="4"/>
  <c r="DH67" i="4" s="1"/>
  <c r="DF238" i="4"/>
  <c r="DH238" i="4" s="1"/>
  <c r="DF237" i="4"/>
  <c r="DH237" i="4" s="1"/>
  <c r="EJ33" i="4"/>
  <c r="EL33" i="4" s="1"/>
  <c r="DX119" i="4"/>
  <c r="DZ119" i="4" s="1"/>
  <c r="DF243" i="4"/>
  <c r="DH243" i="4" s="1"/>
  <c r="DX47" i="4"/>
  <c r="DZ47" i="4" s="1"/>
  <c r="DX100" i="4"/>
  <c r="DZ100" i="4" s="1"/>
  <c r="DF300" i="4"/>
  <c r="DH300" i="4" s="1"/>
  <c r="DF271" i="4"/>
  <c r="DH271" i="4" s="1"/>
  <c r="EJ96" i="4"/>
  <c r="EL96" i="4" s="1"/>
  <c r="ED36" i="4"/>
  <c r="EF36" i="4" s="1"/>
  <c r="AO9" i="5" s="1"/>
  <c r="DF92" i="4"/>
  <c r="DH92" i="4" s="1"/>
  <c r="EJ130" i="4"/>
  <c r="EL130" i="4" s="1"/>
  <c r="EJ98" i="4"/>
  <c r="EL98" i="4" s="1"/>
  <c r="X34" i="5"/>
  <c r="DF124" i="4"/>
  <c r="DH124" i="4" s="1"/>
  <c r="AH22" i="5"/>
  <c r="DF65" i="4"/>
  <c r="DH65" i="4" s="1"/>
  <c r="DF168" i="4"/>
  <c r="DH168" i="4" s="1"/>
  <c r="DR13" i="4"/>
  <c r="DT13" i="4" s="1"/>
  <c r="ED37" i="4"/>
  <c r="EF37" i="4" s="1"/>
  <c r="DF177" i="4"/>
  <c r="DH177" i="4" s="1"/>
  <c r="DF80" i="4"/>
  <c r="DH80" i="4" s="1"/>
  <c r="AD40" i="5"/>
  <c r="X37" i="5"/>
  <c r="AT77" i="1"/>
  <c r="AU77" i="1" s="1"/>
  <c r="AV77" i="1" s="1"/>
  <c r="AP28" i="5"/>
  <c r="DF298" i="4"/>
  <c r="DH298" i="4" s="1"/>
  <c r="EJ34" i="4"/>
  <c r="EL34" i="4" s="1"/>
  <c r="DR49" i="4"/>
  <c r="DT49" i="4" s="1"/>
  <c r="AB28" i="5"/>
  <c r="E14" i="5"/>
  <c r="DF265" i="4"/>
  <c r="DH265" i="4" s="1"/>
  <c r="DR31" i="4"/>
  <c r="DT31" i="4" s="1"/>
  <c r="AJ102" i="5"/>
  <c r="AS102" i="5" s="1"/>
  <c r="AN52" i="5"/>
  <c r="M53" i="5"/>
  <c r="D53" i="5" s="1"/>
  <c r="L53" i="5"/>
  <c r="C53" i="5" s="1"/>
  <c r="DR16" i="4"/>
  <c r="DT16" i="4" s="1"/>
  <c r="EJ149" i="4"/>
  <c r="EL149" i="4" s="1"/>
  <c r="DF120" i="4"/>
  <c r="DH120" i="4" s="1"/>
  <c r="DF119" i="4"/>
  <c r="DH119" i="4" s="1"/>
  <c r="EJ66" i="4"/>
  <c r="EL66" i="4" s="1"/>
  <c r="DR97" i="4"/>
  <c r="DT97" i="4" s="1"/>
  <c r="DF209" i="4"/>
  <c r="DH209" i="4" s="1"/>
  <c r="AJ39" i="5"/>
  <c r="AS39" i="5" s="1"/>
  <c r="AJ98" i="5"/>
  <c r="AS98" i="5" s="1"/>
  <c r="AJ78" i="5"/>
  <c r="AS78" i="5" s="1"/>
  <c r="X52" i="5"/>
  <c r="DF111" i="4"/>
  <c r="DH111" i="4" s="1"/>
  <c r="DF166" i="4"/>
  <c r="DH166" i="4" s="1"/>
  <c r="EJ119" i="4"/>
  <c r="EL119" i="4" s="1"/>
  <c r="DX59" i="4"/>
  <c r="DZ59" i="4" s="1"/>
  <c r="AJ77" i="5"/>
  <c r="AS77" i="5" s="1"/>
  <c r="AJ71" i="5"/>
  <c r="AS71" i="5" s="1"/>
  <c r="AJ96" i="5"/>
  <c r="AS96" i="5" s="1"/>
  <c r="AJ83" i="5"/>
  <c r="AS83" i="5" s="1"/>
  <c r="AJ101" i="5"/>
  <c r="AS101" i="5" s="1"/>
  <c r="AJ33" i="5"/>
  <c r="AS33" i="5" s="1"/>
  <c r="AJ41" i="5"/>
  <c r="AS41" i="5" s="1"/>
  <c r="DF130" i="4"/>
  <c r="DH130" i="4" s="1"/>
  <c r="DF199" i="4"/>
  <c r="DH199" i="4" s="1"/>
  <c r="DR23" i="4"/>
  <c r="DT23" i="4" s="1"/>
  <c r="AH40" i="5"/>
  <c r="AG43" i="5"/>
  <c r="BX39" i="1"/>
  <c r="BY39" i="1" s="1"/>
  <c r="BZ39" i="1" s="1"/>
  <c r="AP47" i="5"/>
  <c r="AO24" i="1"/>
  <c r="AP24" i="1" s="1"/>
  <c r="AQ24" i="1" s="1"/>
  <c r="R47" i="5"/>
  <c r="BD68" i="1"/>
  <c r="BE68" i="1" s="1"/>
  <c r="BF68" i="1" s="1"/>
  <c r="DF30" i="4"/>
  <c r="DH30" i="4" s="1"/>
  <c r="DX36" i="4"/>
  <c r="DZ36" i="4" s="1"/>
  <c r="EJ133" i="4"/>
  <c r="EL133" i="4" s="1"/>
  <c r="DR101" i="4"/>
  <c r="DT101" i="4" s="1"/>
  <c r="EJ146" i="4"/>
  <c r="EL146" i="4" s="1"/>
  <c r="DX148" i="4"/>
  <c r="DZ148" i="4" s="1"/>
  <c r="DX122" i="4"/>
  <c r="DZ122" i="4" s="1"/>
  <c r="DF279" i="4"/>
  <c r="DH279" i="4" s="1"/>
  <c r="X46" i="5"/>
  <c r="T49" i="5"/>
  <c r="DF104" i="4"/>
  <c r="DH104" i="4" s="1"/>
  <c r="DR80" i="4"/>
  <c r="DT80" i="4" s="1"/>
  <c r="EJ26" i="4"/>
  <c r="EL26" i="4" s="1"/>
  <c r="U35" i="5"/>
  <c r="EJ106" i="4"/>
  <c r="EL106" i="4" s="1"/>
  <c r="DX126" i="4"/>
  <c r="DZ126" i="4" s="1"/>
  <c r="DR12" i="4"/>
  <c r="DT12" i="4" s="1"/>
  <c r="DF51" i="4"/>
  <c r="EJ178" i="4"/>
  <c r="EL178" i="4" s="1"/>
  <c r="EJ144" i="4"/>
  <c r="EL144" i="4" s="1"/>
  <c r="DX111" i="4"/>
  <c r="DZ111" i="4" s="1"/>
  <c r="DX124" i="4"/>
  <c r="DZ124" i="4" s="1"/>
  <c r="DF59" i="4"/>
  <c r="AA25" i="5"/>
  <c r="N20" i="5"/>
  <c r="F20" i="5" s="1"/>
  <c r="O20" i="5" s="1"/>
  <c r="H20" i="5" s="1"/>
  <c r="DF35" i="4"/>
  <c r="DH35" i="4" s="1"/>
  <c r="DF175" i="4"/>
  <c r="DH175" i="4" s="1"/>
  <c r="EJ40" i="4"/>
  <c r="EL40" i="4" s="1"/>
  <c r="EJ29" i="4"/>
  <c r="EL29" i="4" s="1"/>
  <c r="EJ152" i="4"/>
  <c r="EL152" i="4" s="1"/>
  <c r="EJ159" i="4"/>
  <c r="EL159" i="4" s="1"/>
  <c r="DX101" i="4"/>
  <c r="DZ101" i="4" s="1"/>
  <c r="AO52" i="1"/>
  <c r="AP52" i="1" s="1"/>
  <c r="AQ52" i="1" s="1"/>
  <c r="AC41" i="5"/>
  <c r="S47" i="5"/>
  <c r="DF102" i="4"/>
  <c r="DH102" i="4" s="1"/>
  <c r="DF43" i="4"/>
  <c r="DF110" i="4"/>
  <c r="DH110" i="4" s="1"/>
  <c r="DR47" i="4"/>
  <c r="DT47" i="4" s="1"/>
  <c r="DF281" i="4"/>
  <c r="DH281" i="4" s="1"/>
  <c r="EJ48" i="4"/>
  <c r="EL48" i="4" s="1"/>
  <c r="DR14" i="4"/>
  <c r="DT14" i="4" s="1"/>
  <c r="DF53" i="4"/>
  <c r="DF215" i="4"/>
  <c r="DH215" i="4" s="1"/>
  <c r="EJ21" i="4"/>
  <c r="EL21" i="4" s="1"/>
  <c r="DR95" i="4"/>
  <c r="DT95" i="4" s="1"/>
  <c r="DR109" i="4"/>
  <c r="DT109" i="4" s="1"/>
  <c r="DF48" i="4"/>
  <c r="DR108" i="4"/>
  <c r="DT108" i="4" s="1"/>
  <c r="DL15" i="4"/>
  <c r="DN15" i="4" s="1"/>
  <c r="DF202" i="4"/>
  <c r="DH202" i="4" s="1"/>
  <c r="DF269" i="4"/>
  <c r="DH269" i="4" s="1"/>
  <c r="DX130" i="4"/>
  <c r="DZ130" i="4" s="1"/>
  <c r="DX14" i="4"/>
  <c r="DZ14" i="4" s="1"/>
  <c r="DF283" i="4"/>
  <c r="DH283" i="4" s="1"/>
  <c r="G17" i="5"/>
  <c r="L17" i="5" s="1"/>
  <c r="C17" i="5" s="1"/>
  <c r="AE31" i="1"/>
  <c r="AF31" i="1" s="1"/>
  <c r="AG31" i="1" s="1"/>
  <c r="AJ50" i="1"/>
  <c r="AK50" i="1" s="1"/>
  <c r="AL50" i="1" s="1"/>
  <c r="BI29" i="1"/>
  <c r="BJ29" i="1" s="1"/>
  <c r="BK29" i="1" s="1"/>
  <c r="BN39" i="1"/>
  <c r="BO39" i="1" s="1"/>
  <c r="BP39" i="1" s="1"/>
  <c r="AB46" i="5"/>
  <c r="AN46" i="5"/>
  <c r="AA46" i="5"/>
  <c r="T46" i="5"/>
  <c r="S46" i="5"/>
  <c r="AT24" i="1"/>
  <c r="AU24" i="1" s="1"/>
  <c r="AV24" i="1" s="1"/>
  <c r="CC17" i="1"/>
  <c r="CD17" i="1" s="1"/>
  <c r="CE17" i="1" s="1"/>
  <c r="AH49" i="5"/>
  <c r="AG31" i="5"/>
  <c r="X31" i="5"/>
  <c r="AP31" i="5"/>
  <c r="AJ31" i="5"/>
  <c r="AS31" i="5" s="1"/>
  <c r="AA14" i="5"/>
  <c r="AJ14" i="5"/>
  <c r="AS14" i="5" s="1"/>
  <c r="R14" i="5"/>
  <c r="S32" i="5"/>
  <c r="AC49" i="5"/>
  <c r="AN49" i="5"/>
  <c r="AB43" i="5"/>
  <c r="AN43" i="5"/>
  <c r="S43" i="5"/>
  <c r="T43" i="5"/>
  <c r="R43" i="5"/>
  <c r="AH52" i="5"/>
  <c r="AP14" i="5"/>
  <c r="AO21" i="1"/>
  <c r="AP21" i="1" s="1"/>
  <c r="AQ21" i="1" s="1"/>
  <c r="AY79" i="1"/>
  <c r="AZ79" i="1" s="1"/>
  <c r="BA79" i="1" s="1"/>
  <c r="AO75" i="1"/>
  <c r="AP75" i="1" s="1"/>
  <c r="AQ75" i="1" s="1"/>
  <c r="AJ46" i="5"/>
  <c r="AS46" i="5" s="1"/>
  <c r="CC56" i="1"/>
  <c r="CD56" i="1" s="1"/>
  <c r="CE56" i="1" s="1"/>
  <c r="AO13" i="1"/>
  <c r="AP13" i="1" s="1"/>
  <c r="AQ13" i="1" s="1"/>
  <c r="BN19" i="1"/>
  <c r="BO19" i="1" s="1"/>
  <c r="BP19" i="1" s="1"/>
  <c r="R46" i="5"/>
  <c r="AA44" i="5"/>
  <c r="AP43" i="5"/>
  <c r="CC13" i="1"/>
  <c r="CD13" i="1" s="1"/>
  <c r="CE13" i="1" s="1"/>
  <c r="BD32" i="1"/>
  <c r="BE32" i="1" s="1"/>
  <c r="BF32" i="1" s="1"/>
  <c r="BD73" i="1"/>
  <c r="BE73" i="1" s="1"/>
  <c r="BF73" i="1" s="1"/>
  <c r="BD29" i="1"/>
  <c r="BE29" i="1" s="1"/>
  <c r="BF29" i="1" s="1"/>
  <c r="R11" i="5"/>
  <c r="AA11" i="5"/>
  <c r="AT19" i="1"/>
  <c r="AU19" i="1" s="1"/>
  <c r="AV19" i="1" s="1"/>
  <c r="AT14" i="1"/>
  <c r="AU14" i="1" s="1"/>
  <c r="AV14" i="1" s="1"/>
  <c r="AT30" i="1"/>
  <c r="AU30" i="1" s="1"/>
  <c r="AV30" i="1" s="1"/>
  <c r="AT18" i="1"/>
  <c r="AU18" i="1" s="1"/>
  <c r="AV18" i="1" s="1"/>
  <c r="AT39" i="1"/>
  <c r="AU39" i="1" s="1"/>
  <c r="AV39" i="1" s="1"/>
  <c r="AT29" i="1"/>
  <c r="AU29" i="1" s="1"/>
  <c r="AV29" i="1" s="1"/>
  <c r="AT17" i="1"/>
  <c r="AU17" i="1" s="1"/>
  <c r="AV17" i="1" s="1"/>
  <c r="AT60" i="1"/>
  <c r="AU60" i="1" s="1"/>
  <c r="AV60" i="1" s="1"/>
  <c r="AO80" i="1"/>
  <c r="AP80" i="1" s="1"/>
  <c r="AQ80" i="1" s="1"/>
  <c r="AJ50" i="5"/>
  <c r="AS50" i="5" s="1"/>
  <c r="AC50" i="5"/>
  <c r="S50" i="5"/>
  <c r="AA50" i="5"/>
  <c r="BD60" i="1"/>
  <c r="BE60" i="1" s="1"/>
  <c r="BF60" i="1" s="1"/>
  <c r="BI41" i="1"/>
  <c r="BJ41" i="1" s="1"/>
  <c r="BK41" i="1" s="1"/>
  <c r="N14" i="5"/>
  <c r="F14" i="5" s="1"/>
  <c r="O14" i="5" s="1"/>
  <c r="H14" i="5" s="1"/>
  <c r="AV14" i="5"/>
  <c r="AU14" i="5" s="1"/>
  <c r="L14" i="5"/>
  <c r="C14" i="5" s="1"/>
  <c r="AB52" i="5"/>
  <c r="R52" i="5"/>
  <c r="T52" i="5"/>
  <c r="S52" i="5"/>
  <c r="R40" i="5"/>
  <c r="AB40" i="5"/>
  <c r="S40" i="5"/>
  <c r="S34" i="5"/>
  <c r="AN34" i="5"/>
  <c r="R34" i="5"/>
  <c r="AP34" i="5"/>
  <c r="AE18" i="1"/>
  <c r="AF18" i="1" s="1"/>
  <c r="AG18" i="1" s="1"/>
  <c r="AE59" i="1"/>
  <c r="AF59" i="1" s="1"/>
  <c r="AG59" i="1" s="1"/>
  <c r="AE29" i="1"/>
  <c r="AF29" i="1" s="1"/>
  <c r="AG29" i="1" s="1"/>
  <c r="AE54" i="1"/>
  <c r="AF54" i="1" s="1"/>
  <c r="AG54" i="1" s="1"/>
  <c r="AE48" i="1"/>
  <c r="AF48" i="1" s="1"/>
  <c r="AG48" i="1" s="1"/>
  <c r="AE61" i="1"/>
  <c r="AF61" i="1" s="1"/>
  <c r="AG61" i="1" s="1"/>
  <c r="AE41" i="1"/>
  <c r="AF41" i="1" s="1"/>
  <c r="AG41" i="1" s="1"/>
  <c r="AE68" i="1"/>
  <c r="AF68" i="1" s="1"/>
  <c r="AG68" i="1" s="1"/>
  <c r="AE35" i="1"/>
  <c r="AF35" i="1" s="1"/>
  <c r="AG35" i="1" s="1"/>
  <c r="AE37" i="1"/>
  <c r="AF37" i="1" s="1"/>
  <c r="AG37" i="1" s="1"/>
  <c r="M14" i="5"/>
  <c r="D14" i="5" s="1"/>
  <c r="AT16" i="1"/>
  <c r="AU16" i="1" s="1"/>
  <c r="AV16" i="1" s="1"/>
  <c r="AN25" i="5"/>
  <c r="S25" i="5"/>
  <c r="R25" i="5"/>
  <c r="G26" i="5"/>
  <c r="N26" i="5" s="1"/>
  <c r="F26" i="5" s="1"/>
  <c r="O26" i="5" s="1"/>
  <c r="H26" i="5" s="1"/>
  <c r="G38" i="5"/>
  <c r="N38" i="5" s="1"/>
  <c r="F38" i="5" s="1"/>
  <c r="O38" i="5" s="1"/>
  <c r="H38" i="5" s="1"/>
  <c r="AO20" i="1"/>
  <c r="AP20" i="1" s="1"/>
  <c r="AQ20" i="1" s="1"/>
  <c r="AO74" i="1"/>
  <c r="AP74" i="1" s="1"/>
  <c r="AQ74" i="1" s="1"/>
  <c r="AO16" i="1"/>
  <c r="AP16" i="1" s="1"/>
  <c r="AQ16" i="1" s="1"/>
  <c r="AO49" i="1"/>
  <c r="AP49" i="1" s="1"/>
  <c r="AQ49" i="1" s="1"/>
  <c r="AO30" i="1"/>
  <c r="AP30" i="1" s="1"/>
  <c r="AQ30" i="1" s="1"/>
  <c r="AO47" i="1"/>
  <c r="AP47" i="1" s="1"/>
  <c r="AQ47" i="1" s="1"/>
  <c r="AO32" i="1"/>
  <c r="AP32" i="1" s="1"/>
  <c r="AQ32" i="1" s="1"/>
  <c r="AO58" i="1"/>
  <c r="AP58" i="1" s="1"/>
  <c r="AQ58" i="1" s="1"/>
  <c r="AO53" i="1"/>
  <c r="AP53" i="1" s="1"/>
  <c r="AQ53" i="1" s="1"/>
  <c r="AO40" i="1"/>
  <c r="AP40" i="1" s="1"/>
  <c r="AQ40" i="1" s="1"/>
  <c r="AO36" i="1"/>
  <c r="AP36" i="1" s="1"/>
  <c r="AQ36" i="1" s="1"/>
  <c r="AO76" i="1"/>
  <c r="AP76" i="1" s="1"/>
  <c r="AQ76" i="1" s="1"/>
  <c r="AO35" i="1"/>
  <c r="AP35" i="1" s="1"/>
  <c r="AQ35" i="1" s="1"/>
  <c r="T34" i="5"/>
  <c r="AB34" i="5"/>
  <c r="AO34" i="1"/>
  <c r="AP34" i="1" s="1"/>
  <c r="AQ34" i="1" s="1"/>
  <c r="AO61" i="1"/>
  <c r="AP61" i="1" s="1"/>
  <c r="AQ61" i="1" s="1"/>
  <c r="AO51" i="1"/>
  <c r="R35" i="5"/>
  <c r="AC35" i="5"/>
  <c r="T35" i="5"/>
  <c r="AJ35" i="5"/>
  <c r="AS35" i="5" s="1"/>
  <c r="AP35" i="5"/>
  <c r="CC47" i="1"/>
  <c r="CD47" i="1" s="1"/>
  <c r="CE47" i="1" s="1"/>
  <c r="CC31" i="1"/>
  <c r="CD31" i="1" s="1"/>
  <c r="CE31" i="1" s="1"/>
  <c r="CC51" i="1"/>
  <c r="CD51" i="1" s="1"/>
  <c r="CE51" i="1" s="1"/>
  <c r="CC16" i="1"/>
  <c r="CD16" i="1" s="1"/>
  <c r="CE16" i="1" s="1"/>
  <c r="CC41" i="1"/>
  <c r="CD41" i="1" s="1"/>
  <c r="CE41" i="1" s="1"/>
  <c r="BX23" i="1"/>
  <c r="BY23" i="1" s="1"/>
  <c r="BZ23" i="1" s="1"/>
  <c r="BX25" i="1"/>
  <c r="BY25" i="1" s="1"/>
  <c r="BZ25" i="1" s="1"/>
  <c r="S35" i="5"/>
  <c r="AO78" i="1"/>
  <c r="AP78" i="1" s="1"/>
  <c r="AQ78" i="1" s="1"/>
  <c r="S23" i="5"/>
  <c r="AP25" i="5"/>
  <c r="AC34" i="5"/>
  <c r="AO12" i="1"/>
  <c r="AP12" i="1" s="1"/>
  <c r="AQ12" i="1" s="1"/>
  <c r="AP52" i="5"/>
  <c r="CC39" i="1"/>
  <c r="CD39" i="1" s="1"/>
  <c r="CE39" i="1" s="1"/>
  <c r="AT33" i="1"/>
  <c r="AU33" i="1" s="1"/>
  <c r="AV33" i="1" s="1"/>
  <c r="AO73" i="1"/>
  <c r="AP73" i="1" s="1"/>
  <c r="AQ73" i="1" s="1"/>
  <c r="AO15" i="1"/>
  <c r="AP15" i="1" s="1"/>
  <c r="AQ15" i="1" s="1"/>
  <c r="AJ52" i="5"/>
  <c r="AS52" i="5" s="1"/>
  <c r="AA31" i="5"/>
  <c r="S31" i="5"/>
  <c r="BD21" i="1"/>
  <c r="BE21" i="1" s="1"/>
  <c r="BF21" i="1" s="1"/>
  <c r="AE42" i="1"/>
  <c r="AF42" i="1" s="1"/>
  <c r="AG42" i="1" s="1"/>
  <c r="AT20" i="1"/>
  <c r="AU20" i="1" s="1"/>
  <c r="AV20" i="1" s="1"/>
  <c r="AO60" i="1"/>
  <c r="AP60" i="1" s="1"/>
  <c r="AQ60" i="1" s="1"/>
  <c r="CC55" i="1"/>
  <c r="CD55" i="1" s="1"/>
  <c r="CE55" i="1" s="1"/>
  <c r="DX60" i="4"/>
  <c r="DZ60" i="4" s="1"/>
  <c r="DX78" i="4"/>
  <c r="DZ78" i="4" s="1"/>
  <c r="DX21" i="4"/>
  <c r="DZ21" i="4" s="1"/>
  <c r="DX82" i="4"/>
  <c r="DZ82" i="4" s="1"/>
  <c r="DF14" i="4"/>
  <c r="DH14" i="4" s="1"/>
  <c r="ED33" i="4"/>
  <c r="EF33" i="4" s="1"/>
  <c r="DF143" i="4"/>
  <c r="DH143" i="4" s="1"/>
  <c r="DX127" i="4"/>
  <c r="DZ127" i="4" s="1"/>
  <c r="EJ161" i="4"/>
  <c r="EL161" i="4" s="1"/>
  <c r="DX108" i="4"/>
  <c r="DZ108" i="4" s="1"/>
  <c r="DX120" i="4"/>
  <c r="DZ120" i="4" s="1"/>
  <c r="DX18" i="4"/>
  <c r="DZ18" i="4" s="1"/>
  <c r="EJ78" i="4"/>
  <c r="EL78" i="4" s="1"/>
  <c r="EJ104" i="4"/>
  <c r="EL104" i="4" s="1"/>
  <c r="EJ91" i="4"/>
  <c r="EL91" i="4" s="1"/>
  <c r="DF187" i="4"/>
  <c r="DH187" i="4" s="1"/>
  <c r="DF189" i="4"/>
  <c r="DH189" i="4" s="1"/>
  <c r="DR26" i="4"/>
  <c r="DT26" i="4" s="1"/>
  <c r="ED23" i="4"/>
  <c r="EF23" i="4" s="1"/>
  <c r="DF223" i="4"/>
  <c r="DH223" i="4" s="1"/>
  <c r="DF95" i="4"/>
  <c r="DH95" i="4" s="1"/>
  <c r="DF39" i="4"/>
  <c r="ED40" i="4"/>
  <c r="EF40" i="4" s="1"/>
  <c r="DF176" i="4"/>
  <c r="DH176" i="4" s="1"/>
  <c r="DF12" i="4"/>
  <c r="DH12" i="4" s="1"/>
  <c r="DX123" i="4"/>
  <c r="DZ123" i="4" s="1"/>
  <c r="AN9" i="5"/>
  <c r="ED22" i="4"/>
  <c r="EF22" i="4" s="1"/>
  <c r="DX103" i="4"/>
  <c r="DZ103" i="4" s="1"/>
  <c r="EJ50" i="4"/>
  <c r="EL50" i="4" s="1"/>
  <c r="DR64" i="4"/>
  <c r="DT64" i="4" s="1"/>
  <c r="DX80" i="4"/>
  <c r="DZ80" i="4" s="1"/>
  <c r="EJ88" i="4"/>
  <c r="EL88" i="4" s="1"/>
  <c r="EJ89" i="4"/>
  <c r="EL89" i="4" s="1"/>
  <c r="EJ75" i="4"/>
  <c r="EL75" i="4" s="1"/>
  <c r="DF198" i="4"/>
  <c r="DH198" i="4" s="1"/>
  <c r="DR83" i="4"/>
  <c r="DT83" i="4" s="1"/>
  <c r="EJ46" i="4"/>
  <c r="EL46" i="4" s="1"/>
  <c r="DF160" i="4"/>
  <c r="DH160" i="4" s="1"/>
  <c r="DF145" i="4"/>
  <c r="DH145" i="4" s="1"/>
  <c r="DX52" i="4"/>
  <c r="DZ52" i="4" s="1"/>
  <c r="DX30" i="4"/>
  <c r="DZ30" i="4" s="1"/>
  <c r="DR70" i="4"/>
  <c r="DT70" i="4" s="1"/>
  <c r="DX84" i="4"/>
  <c r="DZ84" i="4" s="1"/>
  <c r="DF150" i="4"/>
  <c r="DH150" i="4" s="1"/>
  <c r="DF73" i="4"/>
  <c r="DH73" i="4" s="1"/>
  <c r="DF40" i="4"/>
  <c r="DR58" i="4"/>
  <c r="DT58" i="4" s="1"/>
  <c r="DF254" i="4"/>
  <c r="DH254" i="4" s="1"/>
  <c r="DX109" i="4"/>
  <c r="DZ109" i="4" s="1"/>
  <c r="DX23" i="4"/>
  <c r="DZ23" i="4" s="1"/>
  <c r="DX141" i="4"/>
  <c r="DZ141" i="4" s="1"/>
  <c r="DR29" i="4"/>
  <c r="DT29" i="4" s="1"/>
  <c r="DR98" i="4"/>
  <c r="DT98" i="4" s="1"/>
  <c r="DX128" i="4"/>
  <c r="DZ128" i="4" s="1"/>
  <c r="ED39" i="4"/>
  <c r="EF39" i="4" s="1"/>
  <c r="DL20" i="4"/>
  <c r="DN20" i="4" s="1"/>
  <c r="AK9" i="5" s="1"/>
  <c r="EJ73" i="4"/>
  <c r="EL73" i="4" s="1"/>
  <c r="EJ84" i="4"/>
  <c r="EL84" i="4" s="1"/>
  <c r="DF194" i="4"/>
  <c r="DH194" i="4" s="1"/>
  <c r="DR93" i="4"/>
  <c r="DT93" i="4" s="1"/>
  <c r="DR35" i="4"/>
  <c r="DT35" i="4" s="1"/>
  <c r="DF280" i="4"/>
  <c r="DH280" i="4" s="1"/>
  <c r="DF262" i="4"/>
  <c r="DH262" i="4" s="1"/>
  <c r="DF260" i="4"/>
  <c r="DH260" i="4" s="1"/>
  <c r="DX50" i="4"/>
  <c r="DZ50" i="4" s="1"/>
  <c r="DF27" i="4"/>
  <c r="DH27" i="4" s="1"/>
  <c r="DX93" i="4"/>
  <c r="DZ93" i="4" s="1"/>
  <c r="DF224" i="4"/>
  <c r="DH224" i="4" s="1"/>
  <c r="DF165" i="4"/>
  <c r="DH165" i="4" s="1"/>
  <c r="DF144" i="4"/>
  <c r="DH144" i="4" s="1"/>
  <c r="DF123" i="4"/>
  <c r="DH123" i="4" s="1"/>
  <c r="DF50" i="4"/>
  <c r="DF32" i="4"/>
  <c r="DH32" i="4" s="1"/>
  <c r="EJ154" i="4"/>
  <c r="EL154" i="4" s="1"/>
  <c r="DX113" i="4"/>
  <c r="DZ113" i="4" s="1"/>
  <c r="DF277" i="4"/>
  <c r="DH277" i="4" s="1"/>
  <c r="DF29" i="4"/>
  <c r="DH29" i="4" s="1"/>
  <c r="EJ156" i="4"/>
  <c r="EL156" i="4" s="1"/>
  <c r="DF141" i="4"/>
  <c r="DH141" i="4" s="1"/>
  <c r="DR115" i="4"/>
  <c r="DT115" i="4" s="1"/>
  <c r="DF116" i="4"/>
  <c r="DH116" i="4" s="1"/>
  <c r="DX39" i="4"/>
  <c r="DZ39" i="4" s="1"/>
  <c r="DX104" i="4"/>
  <c r="DZ104" i="4" s="1"/>
  <c r="EJ125" i="4"/>
  <c r="EL125" i="4" s="1"/>
  <c r="EJ70" i="4"/>
  <c r="EL70" i="4" s="1"/>
  <c r="DF183" i="4"/>
  <c r="DH183" i="4" s="1"/>
  <c r="EJ36" i="4"/>
  <c r="EL36" i="4" s="1"/>
  <c r="DF250" i="4"/>
  <c r="DH250" i="4" s="1"/>
  <c r="EJ127" i="4"/>
  <c r="EL127" i="4" s="1"/>
  <c r="DF213" i="4"/>
  <c r="DH213" i="4" s="1"/>
  <c r="DF302" i="4"/>
  <c r="DH302" i="4" s="1"/>
  <c r="DX139" i="4"/>
  <c r="DZ139" i="4" s="1"/>
  <c r="DF139" i="4"/>
  <c r="DH139" i="4" s="1"/>
  <c r="DX115" i="4"/>
  <c r="DZ115" i="4" s="1"/>
  <c r="DF81" i="4"/>
  <c r="DH81" i="4" s="1"/>
  <c r="DF15" i="4"/>
  <c r="DH15" i="4" s="1"/>
  <c r="EJ49" i="4"/>
  <c r="EL49" i="4" s="1"/>
  <c r="DX143" i="4"/>
  <c r="DZ143" i="4" s="1"/>
  <c r="EJ150" i="4"/>
  <c r="EL150" i="4" s="1"/>
  <c r="DR105" i="4"/>
  <c r="DT105" i="4" s="1"/>
  <c r="DF164" i="4"/>
  <c r="DH164" i="4" s="1"/>
  <c r="DF46" i="4"/>
  <c r="DF75" i="4"/>
  <c r="DH75" i="4" s="1"/>
  <c r="DF121" i="4"/>
  <c r="DH121" i="4" s="1"/>
  <c r="DF146" i="4"/>
  <c r="DH146" i="4" s="1"/>
  <c r="DF163" i="4"/>
  <c r="DH163" i="4" s="1"/>
  <c r="ED30" i="4"/>
  <c r="EF30" i="4" s="1"/>
  <c r="DR92" i="4"/>
  <c r="DT92" i="4" s="1"/>
  <c r="DF217" i="4"/>
  <c r="DH217" i="4" s="1"/>
  <c r="DF23" i="4"/>
  <c r="DH23" i="4" s="1"/>
  <c r="DF201" i="4"/>
  <c r="DH201" i="4" s="1"/>
  <c r="EJ108" i="4"/>
  <c r="EL108" i="4" s="1"/>
  <c r="DX117" i="4"/>
  <c r="DZ117" i="4" s="1"/>
  <c r="DF289" i="4"/>
  <c r="DH289" i="4" s="1"/>
  <c r="DF61" i="4"/>
  <c r="DF155" i="4"/>
  <c r="EJ65" i="4"/>
  <c r="EL65" i="4" s="1"/>
  <c r="DR21" i="4"/>
  <c r="DT21" i="4" s="1"/>
  <c r="DF285" i="4"/>
  <c r="DH285" i="4" s="1"/>
  <c r="R37" i="5"/>
  <c r="T37" i="5"/>
  <c r="AA37" i="5"/>
  <c r="AN37" i="5"/>
  <c r="BN13" i="1"/>
  <c r="BO13" i="1" s="1"/>
  <c r="BP13" i="1" s="1"/>
  <c r="DF79" i="4"/>
  <c r="DH79" i="4" s="1"/>
  <c r="DF226" i="4"/>
  <c r="DH226" i="4" s="1"/>
  <c r="DF85" i="4"/>
  <c r="DH85" i="4" s="1"/>
  <c r="DF245" i="4"/>
  <c r="DH245" i="4" s="1"/>
  <c r="EJ139" i="4"/>
  <c r="EL139" i="4" s="1"/>
  <c r="EJ69" i="4"/>
  <c r="EL69" i="4" s="1"/>
  <c r="DF301" i="4"/>
  <c r="DH301" i="4" s="1"/>
  <c r="DF242" i="4"/>
  <c r="DH242" i="4" s="1"/>
  <c r="EJ143" i="4"/>
  <c r="EL143" i="4" s="1"/>
  <c r="DR62" i="4"/>
  <c r="DT62" i="4" s="1"/>
  <c r="DR68" i="4"/>
  <c r="DT68" i="4" s="1"/>
  <c r="DX17" i="4"/>
  <c r="DZ17" i="4" s="1"/>
  <c r="AE32" i="1"/>
  <c r="AF32" i="1" s="1"/>
  <c r="AG32" i="1" s="1"/>
  <c r="S20" i="5"/>
  <c r="AA20" i="5"/>
  <c r="BS12" i="1"/>
  <c r="BT12" i="1" s="1"/>
  <c r="BU12" i="1" s="1"/>
  <c r="BS58" i="1"/>
  <c r="BT58" i="1" s="1"/>
  <c r="BU58" i="1" s="1"/>
  <c r="R16" i="5"/>
  <c r="AB16" i="5"/>
  <c r="AA16" i="5"/>
  <c r="AP41" i="5"/>
  <c r="DF25" i="4"/>
  <c r="DH25" i="4" s="1"/>
  <c r="DF62" i="4"/>
  <c r="DF181" i="4"/>
  <c r="DH181" i="4" s="1"/>
  <c r="DF216" i="4"/>
  <c r="DH216" i="4" s="1"/>
  <c r="DX63" i="4"/>
  <c r="DZ63" i="4" s="1"/>
  <c r="DX116" i="4"/>
  <c r="DZ116" i="4" s="1"/>
  <c r="EJ145" i="4"/>
  <c r="EL145" i="4" s="1"/>
  <c r="DL14" i="4"/>
  <c r="DN14" i="4" s="1"/>
  <c r="DX89" i="4"/>
  <c r="DZ89" i="4" s="1"/>
  <c r="DF252" i="4"/>
  <c r="DH252" i="4" s="1"/>
  <c r="EJ51" i="4"/>
  <c r="EL51" i="4" s="1"/>
  <c r="EJ13" i="4"/>
  <c r="EL13" i="4" s="1"/>
  <c r="DF184" i="4"/>
  <c r="DH184" i="4" s="1"/>
  <c r="EJ94" i="4"/>
  <c r="EL94" i="4" s="1"/>
  <c r="EJ113" i="4"/>
  <c r="EL113" i="4" s="1"/>
  <c r="EJ171" i="4"/>
  <c r="EL171" i="4" s="1"/>
  <c r="DF239" i="4"/>
  <c r="DH239" i="4" s="1"/>
  <c r="ED42" i="4"/>
  <c r="EF42" i="4" s="1"/>
  <c r="DX56" i="4"/>
  <c r="DZ56" i="4" s="1"/>
  <c r="DR75" i="4"/>
  <c r="DT75" i="4" s="1"/>
  <c r="DF282" i="4"/>
  <c r="DH282" i="4" s="1"/>
  <c r="DR50" i="4"/>
  <c r="DT50" i="4" s="1"/>
  <c r="DX57" i="4"/>
  <c r="DZ57" i="4" s="1"/>
  <c r="EJ58" i="4"/>
  <c r="EL58" i="4" s="1"/>
  <c r="DF37" i="4"/>
  <c r="DF70" i="4"/>
  <c r="DH70" i="4" s="1"/>
  <c r="AC16" i="5"/>
  <c r="E20" i="5"/>
  <c r="S10" i="5"/>
  <c r="DF118" i="4"/>
  <c r="DH118" i="4" s="1"/>
  <c r="DF58" i="4"/>
  <c r="DH58" i="4" s="1"/>
  <c r="DF71" i="4"/>
  <c r="DH71" i="4" s="1"/>
  <c r="DF117" i="4"/>
  <c r="DH117" i="4" s="1"/>
  <c r="DF140" i="4"/>
  <c r="DH140" i="4" s="1"/>
  <c r="DF205" i="4"/>
  <c r="DH205" i="4" s="1"/>
  <c r="DX65" i="4"/>
  <c r="DZ65" i="4" s="1"/>
  <c r="DR56" i="4"/>
  <c r="DT56" i="4" s="1"/>
  <c r="EJ25" i="4"/>
  <c r="EL25" i="4" s="1"/>
  <c r="DF16" i="4"/>
  <c r="DH16" i="4" s="1"/>
  <c r="EJ54" i="4"/>
  <c r="EL54" i="4" s="1"/>
  <c r="DF188" i="4"/>
  <c r="DH188" i="4" s="1"/>
  <c r="EJ99" i="4"/>
  <c r="EL99" i="4" s="1"/>
  <c r="DX58" i="4"/>
  <c r="DZ58" i="4" s="1"/>
  <c r="DF134" i="4"/>
  <c r="DF270" i="4"/>
  <c r="DH270" i="4" s="1"/>
  <c r="DR46" i="4"/>
  <c r="DT46" i="4" s="1"/>
  <c r="ED44" i="4"/>
  <c r="EF44" i="4" s="1"/>
  <c r="DF170" i="4"/>
  <c r="DH170" i="4" s="1"/>
  <c r="EJ180" i="4"/>
  <c r="EL180" i="4" s="1"/>
  <c r="DF290" i="4"/>
  <c r="DH290" i="4" s="1"/>
  <c r="DF291" i="4"/>
  <c r="DH291" i="4" s="1"/>
  <c r="DX112" i="4"/>
  <c r="DZ112" i="4" s="1"/>
  <c r="DR120" i="4"/>
  <c r="DT120" i="4" s="1"/>
  <c r="DF274" i="4"/>
  <c r="DH274" i="4" s="1"/>
  <c r="DR37" i="4"/>
  <c r="DT37" i="4" s="1"/>
  <c r="EJ103" i="4"/>
  <c r="EL103" i="4" s="1"/>
  <c r="DF20" i="4"/>
  <c r="DH20" i="4" s="1"/>
  <c r="DF297" i="4"/>
  <c r="DH297" i="4" s="1"/>
  <c r="DF114" i="4"/>
  <c r="DH114" i="4" s="1"/>
  <c r="DF28" i="4"/>
  <c r="DH28" i="4" s="1"/>
  <c r="DF152" i="4"/>
  <c r="DH152" i="4" s="1"/>
  <c r="DF210" i="4"/>
  <c r="DH210" i="4" s="1"/>
  <c r="DF74" i="4"/>
  <c r="DH74" i="4" s="1"/>
  <c r="DR17" i="4"/>
  <c r="DT17" i="4" s="1"/>
  <c r="DF255" i="4"/>
  <c r="DH255" i="4" s="1"/>
  <c r="EJ19" i="4"/>
  <c r="EL19" i="4" s="1"/>
  <c r="DR79" i="4"/>
  <c r="DT79" i="4" s="1"/>
  <c r="EJ114" i="4"/>
  <c r="EL114" i="4" s="1"/>
  <c r="DX40" i="4"/>
  <c r="DZ40" i="4" s="1"/>
  <c r="DF292" i="4"/>
  <c r="DH292" i="4" s="1"/>
  <c r="EJ18" i="4"/>
  <c r="EL18" i="4" s="1"/>
  <c r="DF246" i="4"/>
  <c r="DH246" i="4" s="1"/>
  <c r="DR117" i="4"/>
  <c r="DT117" i="4" s="1"/>
  <c r="DR111" i="4"/>
  <c r="DT111" i="4" s="1"/>
  <c r="DX91" i="4"/>
  <c r="DZ91" i="4" s="1"/>
  <c r="DX98" i="4"/>
  <c r="DZ98" i="4" s="1"/>
  <c r="DF78" i="4"/>
  <c r="DH78" i="4" s="1"/>
  <c r="X13" i="5"/>
  <c r="DR27" i="4"/>
  <c r="DT27" i="4" s="1"/>
  <c r="AJ52" i="1"/>
  <c r="AK52" i="1" s="1"/>
  <c r="AL52" i="1" s="1"/>
  <c r="AJ69" i="1"/>
  <c r="AK69" i="1" s="1"/>
  <c r="AL69" i="1" s="1"/>
  <c r="AJ73" i="5"/>
  <c r="AS73" i="5" s="1"/>
  <c r="AJ75" i="5"/>
  <c r="AS75" i="5" s="1"/>
  <c r="AJ91" i="5"/>
  <c r="AS91" i="5" s="1"/>
  <c r="AJ82" i="5"/>
  <c r="AS82" i="5" s="1"/>
  <c r="AJ42" i="5"/>
  <c r="AS42" i="5" s="1"/>
  <c r="AJ59" i="5"/>
  <c r="AS59" i="5" s="1"/>
  <c r="AJ106" i="5"/>
  <c r="AS106" i="5" s="1"/>
  <c r="DF17" i="4"/>
  <c r="DH17" i="4" s="1"/>
  <c r="DF44" i="4"/>
  <c r="DF52" i="4"/>
  <c r="DF90" i="4"/>
  <c r="DH90" i="4" s="1"/>
  <c r="DF115" i="4"/>
  <c r="DH115" i="4" s="1"/>
  <c r="DF128" i="4"/>
  <c r="DH128" i="4" s="1"/>
  <c r="DF179" i="4"/>
  <c r="DH179" i="4" s="1"/>
  <c r="DF220" i="4"/>
  <c r="DH220" i="4" s="1"/>
  <c r="DF218" i="4"/>
  <c r="DH218" i="4" s="1"/>
  <c r="EJ175" i="4"/>
  <c r="EL175" i="4" s="1"/>
  <c r="DF249" i="4"/>
  <c r="DH249" i="4" s="1"/>
  <c r="DR113" i="4"/>
  <c r="DT113" i="4" s="1"/>
  <c r="DX72" i="4"/>
  <c r="DZ72" i="4" s="1"/>
  <c r="DF122" i="4"/>
  <c r="DH122" i="4" s="1"/>
  <c r="DF231" i="4"/>
  <c r="DH231" i="4" s="1"/>
  <c r="DR90" i="4"/>
  <c r="DT90" i="4" s="1"/>
  <c r="DF97" i="4"/>
  <c r="DH97" i="4" s="1"/>
  <c r="DF247" i="4"/>
  <c r="DH247" i="4" s="1"/>
  <c r="EJ56" i="4"/>
  <c r="EL56" i="4" s="1"/>
  <c r="DR43" i="4"/>
  <c r="DT43" i="4" s="1"/>
  <c r="DF193" i="4"/>
  <c r="DH193" i="4" s="1"/>
  <c r="EJ101" i="4"/>
  <c r="EL101" i="4" s="1"/>
  <c r="EJ110" i="4"/>
  <c r="EL110" i="4" s="1"/>
  <c r="EJ109" i="4"/>
  <c r="EL109" i="4" s="1"/>
  <c r="EJ83" i="4"/>
  <c r="EL83" i="4" s="1"/>
  <c r="DF233" i="4"/>
  <c r="DH233" i="4" s="1"/>
  <c r="EJ162" i="4"/>
  <c r="EL162" i="4" s="1"/>
  <c r="DX136" i="4"/>
  <c r="DZ136" i="4" s="1"/>
  <c r="AN10" i="5"/>
  <c r="DF204" i="4"/>
  <c r="DH204" i="4" s="1"/>
  <c r="DX74" i="4"/>
  <c r="DZ74" i="4" s="1"/>
  <c r="DF294" i="4"/>
  <c r="DH294" i="4" s="1"/>
  <c r="DX135" i="4"/>
  <c r="DZ135" i="4" s="1"/>
  <c r="DF299" i="4"/>
  <c r="DH299" i="4" s="1"/>
  <c r="ED16" i="4"/>
  <c r="EF16" i="4" s="1"/>
  <c r="DR84" i="4"/>
  <c r="DT84" i="4" s="1"/>
  <c r="DF225" i="4"/>
  <c r="DH225" i="4" s="1"/>
  <c r="DF101" i="4"/>
  <c r="DH101" i="4" s="1"/>
  <c r="DR104" i="4"/>
  <c r="DT104" i="4" s="1"/>
  <c r="DR77" i="4"/>
  <c r="DT77" i="4" s="1"/>
  <c r="DF87" i="4"/>
  <c r="DH87" i="4" s="1"/>
  <c r="DX140" i="4"/>
  <c r="DZ140" i="4" s="1"/>
  <c r="DR61" i="4"/>
  <c r="DT61" i="4" s="1"/>
  <c r="DF172" i="4"/>
  <c r="DH172" i="4" s="1"/>
  <c r="ED28" i="4"/>
  <c r="EF28" i="4" s="1"/>
  <c r="DX96" i="4"/>
  <c r="DZ96" i="4" s="1"/>
  <c r="DF34" i="4"/>
  <c r="DH34" i="4" s="1"/>
  <c r="ED29" i="4"/>
  <c r="EF29" i="4" s="1"/>
  <c r="DF151" i="4"/>
  <c r="DH151" i="4" s="1"/>
  <c r="EJ55" i="4"/>
  <c r="EL55" i="4" s="1"/>
  <c r="DL13" i="4"/>
  <c r="DN13" i="4" s="1"/>
  <c r="DF136" i="4"/>
  <c r="DR60" i="4"/>
  <c r="DT60" i="4" s="1"/>
  <c r="DX62" i="4"/>
  <c r="DZ62" i="4" s="1"/>
  <c r="DR78" i="4"/>
  <c r="DT78" i="4" s="1"/>
  <c r="DX92" i="4"/>
  <c r="DZ92" i="4" s="1"/>
  <c r="DF68" i="4"/>
  <c r="DH68" i="4" s="1"/>
  <c r="DX46" i="4"/>
  <c r="DZ46" i="4" s="1"/>
  <c r="DF82" i="4"/>
  <c r="DH82" i="4" s="1"/>
  <c r="DL21" i="4"/>
  <c r="DN21" i="4" s="1"/>
  <c r="DX25" i="4"/>
  <c r="DZ25" i="4" s="1"/>
  <c r="DX45" i="4"/>
  <c r="DZ45" i="4" s="1"/>
  <c r="ED43" i="4"/>
  <c r="EF43" i="4" s="1"/>
  <c r="DF157" i="4"/>
  <c r="EJ138" i="4"/>
  <c r="EL138" i="4" s="1"/>
  <c r="EJ140" i="4"/>
  <c r="EL140" i="4" s="1"/>
  <c r="DF93" i="4"/>
  <c r="DH93" i="4" s="1"/>
  <c r="DR44" i="4"/>
  <c r="DT44" i="4" s="1"/>
  <c r="DF235" i="4"/>
  <c r="DH235" i="4" s="1"/>
  <c r="EJ157" i="4"/>
  <c r="EL157" i="4" s="1"/>
  <c r="DF232" i="4"/>
  <c r="DH232" i="4" s="1"/>
  <c r="EJ93" i="4"/>
  <c r="EL93" i="4" s="1"/>
  <c r="EJ86" i="4"/>
  <c r="EL86" i="4" s="1"/>
  <c r="EJ79" i="4"/>
  <c r="EL79" i="4" s="1"/>
  <c r="EJ90" i="4"/>
  <c r="EL90" i="4" s="1"/>
  <c r="EJ81" i="4"/>
  <c r="EL81" i="4" s="1"/>
  <c r="DF191" i="4"/>
  <c r="DH191" i="4" s="1"/>
  <c r="DR99" i="4"/>
  <c r="DT99" i="4" s="1"/>
  <c r="DR39" i="4"/>
  <c r="DT39" i="4" s="1"/>
  <c r="EJ136" i="4"/>
  <c r="EL136" i="4" s="1"/>
  <c r="EJ61" i="4"/>
  <c r="EL61" i="4" s="1"/>
  <c r="EJ39" i="4"/>
  <c r="EL39" i="4" s="1"/>
  <c r="EJ15" i="4"/>
  <c r="EL15" i="4" s="1"/>
  <c r="DF236" i="4"/>
  <c r="DH236" i="4" s="1"/>
  <c r="DF64" i="4"/>
  <c r="DH64" i="4" s="1"/>
  <c r="EJ177" i="4"/>
  <c r="EL177" i="4" s="1"/>
  <c r="DX53" i="4"/>
  <c r="DZ53" i="4" s="1"/>
  <c r="DX31" i="4"/>
  <c r="DZ31" i="4" s="1"/>
  <c r="DF178" i="4"/>
  <c r="DH178" i="4" s="1"/>
  <c r="DX67" i="4"/>
  <c r="DZ67" i="4" s="1"/>
  <c r="EJ135" i="4"/>
  <c r="EL135" i="4" s="1"/>
  <c r="DF174" i="4"/>
  <c r="DH174" i="4" s="1"/>
  <c r="DX49" i="4"/>
  <c r="DZ49" i="4" s="1"/>
  <c r="DF214" i="4"/>
  <c r="DH214" i="4" s="1"/>
  <c r="DF173" i="4"/>
  <c r="DH173" i="4" s="1"/>
  <c r="DF159" i="4"/>
  <c r="DH159" i="4" s="1"/>
  <c r="DF137" i="4"/>
  <c r="DF96" i="4"/>
  <c r="DH96" i="4" s="1"/>
  <c r="DF103" i="4"/>
  <c r="DH103" i="4" s="1"/>
  <c r="DX86" i="4"/>
  <c r="DZ86" i="4" s="1"/>
  <c r="DX106" i="4"/>
  <c r="DZ106" i="4" s="1"/>
  <c r="DR40" i="4"/>
  <c r="DT40" i="4" s="1"/>
  <c r="DF264" i="4"/>
  <c r="DH264" i="4" s="1"/>
  <c r="DF89" i="4"/>
  <c r="DH89" i="4" s="1"/>
  <c r="DX27" i="4"/>
  <c r="DZ27" i="4" s="1"/>
  <c r="DF47" i="4"/>
  <c r="DR63" i="4"/>
  <c r="DT63" i="4" s="1"/>
  <c r="DR72" i="4"/>
  <c r="DT72" i="4" s="1"/>
  <c r="DX26" i="4"/>
  <c r="DZ26" i="4" s="1"/>
  <c r="EJ20" i="4"/>
  <c r="EL20" i="4" s="1"/>
  <c r="DF180" i="4"/>
  <c r="DH180" i="4" s="1"/>
  <c r="ED41" i="4"/>
  <c r="EF41" i="4" s="1"/>
  <c r="DX102" i="4"/>
  <c r="DZ102" i="4" s="1"/>
  <c r="DF268" i="4"/>
  <c r="DH268" i="4"/>
  <c r="DF18" i="4"/>
  <c r="DH18" i="4" s="1"/>
  <c r="DL22" i="4"/>
  <c r="DN22" i="4" s="1"/>
  <c r="DR66" i="4"/>
  <c r="DT66" i="4" s="1"/>
  <c r="EJ151" i="4"/>
  <c r="EL151" i="4" s="1"/>
  <c r="DF41" i="4"/>
  <c r="EJ23" i="4"/>
  <c r="EL23" i="4" s="1"/>
  <c r="ED32" i="4"/>
  <c r="EF32" i="4" s="1"/>
  <c r="EJ160" i="4"/>
  <c r="EL160" i="4" s="1"/>
  <c r="EJ122" i="4"/>
  <c r="EL122" i="4" s="1"/>
  <c r="EJ74" i="4"/>
  <c r="EL74" i="4" s="1"/>
  <c r="EJ80" i="4"/>
  <c r="EL80" i="4" s="1"/>
  <c r="DF200" i="4"/>
  <c r="DH200" i="4" s="1"/>
  <c r="DF185" i="4"/>
  <c r="DH185" i="4" s="1"/>
  <c r="DR85" i="4"/>
  <c r="DT85" i="4" s="1"/>
  <c r="DR45" i="4"/>
  <c r="DT45" i="4" s="1"/>
  <c r="EJ141" i="4"/>
  <c r="EL141" i="4" s="1"/>
  <c r="EJ41" i="4"/>
  <c r="EL41" i="4" s="1"/>
  <c r="DF240" i="4"/>
  <c r="DH240" i="4" s="1"/>
  <c r="DR94" i="4"/>
  <c r="DT94" i="4" s="1"/>
  <c r="DR20" i="4"/>
  <c r="DT20" i="4" s="1"/>
  <c r="DR30" i="4"/>
  <c r="DT30" i="4" s="1"/>
  <c r="ED14" i="4"/>
  <c r="EF14" i="4" s="1"/>
  <c r="DF57" i="4"/>
  <c r="DX70" i="4"/>
  <c r="DZ70" i="4" s="1"/>
  <c r="EJ35" i="4"/>
  <c r="EL35" i="4" s="1"/>
  <c r="DX12" i="4"/>
  <c r="DZ12" i="4" s="1"/>
  <c r="ED18" i="4"/>
  <c r="EF18" i="4" s="1"/>
  <c r="DF208" i="4"/>
  <c r="DH208" i="4" s="1"/>
  <c r="DF169" i="4"/>
  <c r="DH169" i="4" s="1"/>
  <c r="DF135" i="4"/>
  <c r="DF109" i="4"/>
  <c r="DH109" i="4" s="1"/>
  <c r="DF88" i="4"/>
  <c r="DH88" i="4" s="1"/>
  <c r="DF77" i="4"/>
  <c r="DH77" i="4" s="1"/>
  <c r="DF56" i="4"/>
  <c r="AJ74" i="5"/>
  <c r="AS74" i="5" s="1"/>
  <c r="AJ48" i="5"/>
  <c r="AS48" i="5" s="1"/>
  <c r="DF13" i="4"/>
  <c r="DH13" i="4" s="1"/>
  <c r="DF60" i="4"/>
  <c r="DF42" i="4"/>
  <c r="DF83" i="4"/>
  <c r="DH83" i="4" s="1"/>
  <c r="DF86" i="4"/>
  <c r="DH86" i="4" s="1"/>
  <c r="DF107" i="4"/>
  <c r="DH107" i="4" s="1"/>
  <c r="DF148" i="4"/>
  <c r="DH148" i="4" s="1"/>
  <c r="DX13" i="4"/>
  <c r="DZ13" i="4" s="1"/>
  <c r="DR42" i="4"/>
  <c r="DT42" i="4" s="1"/>
  <c r="ED34" i="4"/>
  <c r="EF34" i="4" s="1"/>
  <c r="EJ31" i="4"/>
  <c r="EL31" i="4" s="1"/>
  <c r="EJ59" i="4"/>
  <c r="EL59" i="4" s="1"/>
  <c r="DR51" i="4"/>
  <c r="DT51" i="4" s="1"/>
  <c r="DR53" i="4"/>
  <c r="DT53" i="4" s="1"/>
  <c r="DR89" i="4"/>
  <c r="DT89" i="4" s="1"/>
  <c r="DF197" i="4"/>
  <c r="DH197" i="4" s="1"/>
  <c r="DF195" i="4"/>
  <c r="DH195" i="4" s="1"/>
  <c r="EJ116" i="4"/>
  <c r="EL116" i="4" s="1"/>
  <c r="EJ115" i="4"/>
  <c r="EL115" i="4" s="1"/>
  <c r="EJ123" i="4"/>
  <c r="EL123" i="4" s="1"/>
  <c r="DX61" i="4"/>
  <c r="DZ61" i="4" s="1"/>
  <c r="DR107" i="4"/>
  <c r="DT107" i="4" s="1"/>
  <c r="DR52" i="4"/>
  <c r="DT52" i="4" s="1"/>
  <c r="DX24" i="4"/>
  <c r="DZ24" i="4" s="1"/>
  <c r="DF207" i="4"/>
  <c r="DH207" i="4" s="1"/>
  <c r="DF156" i="4"/>
  <c r="DX131" i="4"/>
  <c r="DZ131" i="4" s="1"/>
  <c r="DF275" i="4"/>
  <c r="DH275" i="4"/>
  <c r="EJ63" i="4"/>
  <c r="EL63" i="4" s="1"/>
  <c r="EJ173" i="4"/>
  <c r="EL173" i="4" s="1"/>
  <c r="DL17" i="4"/>
  <c r="DN17" i="4" s="1"/>
  <c r="DF287" i="4"/>
  <c r="DH287" i="4" s="1"/>
  <c r="DR18" i="4"/>
  <c r="DT18" i="4" s="1"/>
  <c r="DX15" i="4"/>
  <c r="DZ15" i="4" s="1"/>
  <c r="DF129" i="4"/>
  <c r="DH129" i="4" s="1"/>
  <c r="DF276" i="4"/>
  <c r="DH276" i="4" s="1"/>
  <c r="DF293" i="4"/>
  <c r="DH293" i="4" s="1"/>
  <c r="EJ30" i="4"/>
  <c r="EL30" i="4" s="1"/>
  <c r="ED27" i="4"/>
  <c r="EF27" i="4" s="1"/>
  <c r="DF211" i="4"/>
  <c r="DH211" i="4" s="1"/>
  <c r="AO56" i="1"/>
  <c r="AP56" i="1" s="1"/>
  <c r="AQ56" i="1" s="1"/>
  <c r="CC32" i="1"/>
  <c r="CD32" i="1" s="1"/>
  <c r="CE32" i="1" s="1"/>
  <c r="G86" i="5"/>
  <c r="H86" i="5"/>
  <c r="F86" i="5" s="1"/>
  <c r="G92" i="5"/>
  <c r="AC25" i="5"/>
  <c r="DI16" i="1"/>
  <c r="T26" i="5" s="1"/>
  <c r="G75" i="5"/>
  <c r="J70" i="5"/>
  <c r="E75" i="5"/>
  <c r="E52" i="5"/>
  <c r="G52" i="5"/>
  <c r="BN20" i="1"/>
  <c r="BO20" i="1" s="1"/>
  <c r="BP20" i="1" s="1"/>
  <c r="AJ19" i="1"/>
  <c r="AK19" i="1" s="1"/>
  <c r="AL19" i="1" s="1"/>
  <c r="BD12" i="1"/>
  <c r="BE12" i="1" s="1"/>
  <c r="BF12" i="1" s="1"/>
  <c r="CR20" i="1"/>
  <c r="CS20" i="1" s="1"/>
  <c r="CT20" i="1" s="1"/>
  <c r="CR14" i="1"/>
  <c r="CS14" i="1" s="1"/>
  <c r="CT14" i="1" s="1"/>
  <c r="CR16" i="1"/>
  <c r="CS16" i="1" s="1"/>
  <c r="CT16" i="1" s="1"/>
  <c r="CR24" i="1"/>
  <c r="CS24" i="1" s="1"/>
  <c r="CT24" i="1" s="1"/>
  <c r="CR25" i="1"/>
  <c r="CS25" i="1" s="1"/>
  <c r="CT25" i="1" s="1"/>
  <c r="CM12" i="1"/>
  <c r="CN12" i="1" s="1"/>
  <c r="CO12" i="1" s="1"/>
  <c r="CM20" i="1"/>
  <c r="CN20" i="1" s="1"/>
  <c r="CO20" i="1" s="1"/>
  <c r="CM22" i="1"/>
  <c r="CN22" i="1" s="1"/>
  <c r="CO22" i="1" s="1"/>
  <c r="CM25" i="1"/>
  <c r="CN25" i="1" s="1"/>
  <c r="CO25" i="1" s="1"/>
  <c r="CM11" i="1"/>
  <c r="CN11" i="1" s="1"/>
  <c r="CO11" i="1" s="1"/>
  <c r="CM18" i="1"/>
  <c r="CN18" i="1" s="1"/>
  <c r="CO18" i="1" s="1"/>
  <c r="CM16" i="1"/>
  <c r="CN16" i="1" s="1"/>
  <c r="CO16" i="1" s="1"/>
  <c r="BD69" i="1"/>
  <c r="BE69" i="1" s="1"/>
  <c r="BF69" i="1" s="1"/>
  <c r="BD75" i="1"/>
  <c r="BE75" i="1" s="1"/>
  <c r="BF75" i="1" s="1"/>
  <c r="BD34" i="1"/>
  <c r="BE34" i="1" s="1"/>
  <c r="BF34" i="1" s="1"/>
  <c r="BD18" i="1"/>
  <c r="BE18" i="1" s="1"/>
  <c r="BF18" i="1" s="1"/>
  <c r="BD76" i="1"/>
  <c r="BE76" i="1" s="1"/>
  <c r="BF76" i="1" s="1"/>
  <c r="BD59" i="1"/>
  <c r="BE59" i="1" s="1"/>
  <c r="BF59" i="1" s="1"/>
  <c r="BD65" i="1"/>
  <c r="BE65" i="1" s="1"/>
  <c r="BF65" i="1" s="1"/>
  <c r="BD74" i="1"/>
  <c r="BE74" i="1" s="1"/>
  <c r="BF74" i="1" s="1"/>
  <c r="BD23" i="1"/>
  <c r="BE23" i="1" s="1"/>
  <c r="BF23" i="1" s="1"/>
  <c r="BD16" i="1"/>
  <c r="BE16" i="1" s="1"/>
  <c r="BF16" i="1" s="1"/>
  <c r="BD47" i="1"/>
  <c r="BE47" i="1" s="1"/>
  <c r="BF47" i="1" s="1"/>
  <c r="BD25" i="1"/>
  <c r="BE25" i="1" s="1"/>
  <c r="BF25" i="1" s="1"/>
  <c r="BD42" i="1"/>
  <c r="BE42" i="1" s="1"/>
  <c r="BF42" i="1" s="1"/>
  <c r="BD19" i="1"/>
  <c r="BE19" i="1" s="1"/>
  <c r="BF19" i="1" s="1"/>
  <c r="BD30" i="1"/>
  <c r="BE30" i="1" s="1"/>
  <c r="BF30" i="1" s="1"/>
  <c r="BD38" i="1"/>
  <c r="BE38" i="1" s="1"/>
  <c r="BF38" i="1" s="1"/>
  <c r="BD52" i="1"/>
  <c r="BE52" i="1" s="1"/>
  <c r="BF52" i="1" s="1"/>
  <c r="BD51" i="1"/>
  <c r="BE51" i="1" s="1"/>
  <c r="BF51" i="1" s="1"/>
  <c r="BD53" i="1"/>
  <c r="BE53" i="1" s="1"/>
  <c r="BF53" i="1" s="1"/>
  <c r="BD57" i="1"/>
  <c r="BE57" i="1" s="1"/>
  <c r="BF57" i="1" s="1"/>
  <c r="BD36" i="1"/>
  <c r="BE36" i="1" s="1"/>
  <c r="BF36" i="1" s="1"/>
  <c r="BD15" i="1"/>
  <c r="BE15" i="1" s="1"/>
  <c r="BF15" i="1" s="1"/>
  <c r="BD56" i="1"/>
  <c r="BE56" i="1" s="1"/>
  <c r="BF56" i="1" s="1"/>
  <c r="BD82" i="1"/>
  <c r="BE82" i="1" s="1"/>
  <c r="BF82" i="1" s="1"/>
  <c r="BD48" i="1"/>
  <c r="BE48" i="1" s="1"/>
  <c r="BF48" i="1" s="1"/>
  <c r="BD77" i="1"/>
  <c r="BE77" i="1" s="1"/>
  <c r="BF77" i="1" s="1"/>
  <c r="BD78" i="1"/>
  <c r="BE78" i="1" s="1"/>
  <c r="BF78" i="1" s="1"/>
  <c r="BD20" i="1"/>
  <c r="BE20" i="1" s="1"/>
  <c r="BF20" i="1" s="1"/>
  <c r="BD17" i="1"/>
  <c r="BE17" i="1" s="1"/>
  <c r="BF17" i="1" s="1"/>
  <c r="BD14" i="1"/>
  <c r="BE14" i="1" s="1"/>
  <c r="BF14" i="1" s="1"/>
  <c r="AJ13" i="5"/>
  <c r="AS13" i="5" s="1"/>
  <c r="S13" i="5"/>
  <c r="AB13" i="5"/>
  <c r="R19" i="5"/>
  <c r="AA19" i="5"/>
  <c r="AJ19" i="5"/>
  <c r="AS19" i="5" s="1"/>
  <c r="S19" i="5"/>
  <c r="N39" i="5"/>
  <c r="F39" i="5" s="1"/>
  <c r="O39" i="5" s="1"/>
  <c r="H39" i="5" s="1"/>
  <c r="M39" i="5"/>
  <c r="D39" i="5" s="1"/>
  <c r="AV39" i="5"/>
  <c r="AU39" i="5" s="1"/>
  <c r="BX37" i="1"/>
  <c r="BY37" i="1" s="1"/>
  <c r="BZ37" i="1" s="1"/>
  <c r="BX12" i="1"/>
  <c r="BY12" i="1" s="1"/>
  <c r="BZ12" i="1" s="1"/>
  <c r="BX30" i="1"/>
  <c r="BY30" i="1" s="1"/>
  <c r="BZ30" i="1" s="1"/>
  <c r="BX41" i="1"/>
  <c r="BY41" i="1" s="1"/>
  <c r="BZ41" i="1" s="1"/>
  <c r="BX38" i="1"/>
  <c r="BY38" i="1" s="1"/>
  <c r="BZ38" i="1" s="1"/>
  <c r="BX21" i="1"/>
  <c r="BY21" i="1" s="1"/>
  <c r="BZ21" i="1" s="1"/>
  <c r="BX40" i="1"/>
  <c r="BY40" i="1" s="1"/>
  <c r="BZ40" i="1" s="1"/>
  <c r="BX15" i="1"/>
  <c r="BY15" i="1" s="1"/>
  <c r="BZ15" i="1" s="1"/>
  <c r="BX18" i="1"/>
  <c r="BY18" i="1" s="1"/>
  <c r="BZ18" i="1" s="1"/>
  <c r="BX24" i="1"/>
  <c r="BY24" i="1" s="1"/>
  <c r="BZ24" i="1" s="1"/>
  <c r="BX31" i="1"/>
  <c r="BY31" i="1" s="1"/>
  <c r="BZ31" i="1" s="1"/>
  <c r="BX17" i="1"/>
  <c r="BY17" i="1" s="1"/>
  <c r="BZ17" i="1" s="1"/>
  <c r="BX43" i="1"/>
  <c r="BY43" i="1" s="1"/>
  <c r="BZ43" i="1" s="1"/>
  <c r="BX14" i="1"/>
  <c r="BY14" i="1" s="1"/>
  <c r="BZ14" i="1" s="1"/>
  <c r="BX11" i="1"/>
  <c r="BY11" i="1" s="1"/>
  <c r="BZ11" i="1" s="1"/>
  <c r="BX42" i="1"/>
  <c r="BY42" i="1" s="1"/>
  <c r="BZ42" i="1" s="1"/>
  <c r="BX20" i="1"/>
  <c r="BY20" i="1" s="1"/>
  <c r="BZ20" i="1" s="1"/>
  <c r="BX19" i="1"/>
  <c r="BY19" i="1" s="1"/>
  <c r="BZ19" i="1" s="1"/>
  <c r="BX36" i="1"/>
  <c r="BY36" i="1" s="1"/>
  <c r="BZ36" i="1" s="1"/>
  <c r="AJ53" i="1"/>
  <c r="AK53" i="1" s="1"/>
  <c r="AL53" i="1" s="1"/>
  <c r="AJ66" i="1"/>
  <c r="AK66" i="1" s="1"/>
  <c r="AL66" i="1" s="1"/>
  <c r="AJ18" i="1"/>
  <c r="AK18" i="1" s="1"/>
  <c r="AL18" i="1" s="1"/>
  <c r="AJ15" i="1"/>
  <c r="AK15" i="1" s="1"/>
  <c r="AL15" i="1" s="1"/>
  <c r="AJ37" i="1"/>
  <c r="AK37" i="1" s="1"/>
  <c r="AL37" i="1" s="1"/>
  <c r="AJ35" i="1"/>
  <c r="AK35" i="1" s="1"/>
  <c r="AL35" i="1" s="1"/>
  <c r="AJ12" i="1"/>
  <c r="AK12" i="1" s="1"/>
  <c r="AL12" i="1" s="1"/>
  <c r="AJ33" i="1"/>
  <c r="AK33" i="1" s="1"/>
  <c r="AL33" i="1" s="1"/>
  <c r="AJ58" i="1"/>
  <c r="AK58" i="1" s="1"/>
  <c r="AL58" i="1" s="1"/>
  <c r="AJ20" i="1"/>
  <c r="AK20" i="1" s="1"/>
  <c r="AL20" i="1" s="1"/>
  <c r="AJ30" i="1"/>
  <c r="AK30" i="1" s="1"/>
  <c r="AL30" i="1" s="1"/>
  <c r="AJ16" i="1"/>
  <c r="AK16" i="1" s="1"/>
  <c r="AL16" i="1" s="1"/>
  <c r="AJ17" i="1"/>
  <c r="AK17" i="1" s="1"/>
  <c r="AL17" i="1" s="1"/>
  <c r="AJ41" i="1"/>
  <c r="AK41" i="1" s="1"/>
  <c r="AL41" i="1" s="1"/>
  <c r="AJ36" i="1"/>
  <c r="AK36" i="1" s="1"/>
  <c r="AL36" i="1" s="1"/>
  <c r="AJ32" i="1"/>
  <c r="AK32" i="1" s="1"/>
  <c r="AL32" i="1" s="1"/>
  <c r="AJ79" i="1"/>
  <c r="AK79" i="1" s="1"/>
  <c r="AL79" i="1" s="1"/>
  <c r="AJ39" i="1"/>
  <c r="AK39" i="1" s="1"/>
  <c r="AL39" i="1" s="1"/>
  <c r="AJ31" i="1"/>
  <c r="AK31" i="1" s="1"/>
  <c r="AL31" i="1" s="1"/>
  <c r="AJ42" i="1"/>
  <c r="AK42" i="1" s="1"/>
  <c r="AL42" i="1" s="1"/>
  <c r="AJ60" i="1"/>
  <c r="AK60" i="1" s="1"/>
  <c r="AL60" i="1" s="1"/>
  <c r="AJ34" i="1"/>
  <c r="AK34" i="1" s="1"/>
  <c r="AL34" i="1" s="1"/>
  <c r="AJ48" i="1"/>
  <c r="AK48" i="1" s="1"/>
  <c r="AL48" i="1" s="1"/>
  <c r="AJ73" i="1"/>
  <c r="AK73" i="1" s="1"/>
  <c r="AL73" i="1" s="1"/>
  <c r="AJ38" i="1"/>
  <c r="AK38" i="1" s="1"/>
  <c r="AL38" i="1" s="1"/>
  <c r="AJ13" i="1"/>
  <c r="AK13" i="1" s="1"/>
  <c r="AL13" i="1" s="1"/>
  <c r="AJ22" i="1"/>
  <c r="AK22" i="1" s="1"/>
  <c r="AL22" i="1" s="1"/>
  <c r="AJ54" i="1"/>
  <c r="AK54" i="1" s="1"/>
  <c r="AL54" i="1" s="1"/>
  <c r="AJ78" i="1"/>
  <c r="AK78" i="1" s="1"/>
  <c r="AL78" i="1" s="1"/>
  <c r="AJ82" i="1"/>
  <c r="AK82" i="1" s="1"/>
  <c r="AL82" i="1" s="1"/>
  <c r="AJ75" i="1"/>
  <c r="AK75" i="1" s="1"/>
  <c r="AL75" i="1" s="1"/>
  <c r="AJ57" i="1"/>
  <c r="AK57" i="1" s="1"/>
  <c r="AL57" i="1" s="1"/>
  <c r="AJ11" i="1"/>
  <c r="AK11" i="1" s="1"/>
  <c r="AL11" i="1" s="1"/>
  <c r="AJ14" i="1"/>
  <c r="AK14" i="1" s="1"/>
  <c r="AL14" i="1" s="1"/>
  <c r="AJ40" i="1"/>
  <c r="AK40" i="1" s="1"/>
  <c r="AL40" i="1" s="1"/>
  <c r="AJ29" i="1"/>
  <c r="AK29" i="1" s="1"/>
  <c r="AL29" i="1" s="1"/>
  <c r="AJ25" i="1"/>
  <c r="AK25" i="1" s="1"/>
  <c r="AL25" i="1" s="1"/>
  <c r="AY82" i="1"/>
  <c r="AZ82" i="1" s="1"/>
  <c r="BA82" i="1" s="1"/>
  <c r="AY17" i="1"/>
  <c r="AZ17" i="1" s="1"/>
  <c r="BA17" i="1" s="1"/>
  <c r="AY20" i="1"/>
  <c r="AZ20" i="1" s="1"/>
  <c r="BA20" i="1" s="1"/>
  <c r="AY40" i="1"/>
  <c r="AZ40" i="1" s="1"/>
  <c r="BA40" i="1" s="1"/>
  <c r="AY68" i="1"/>
  <c r="AZ68" i="1" s="1"/>
  <c r="BA68" i="1" s="1"/>
  <c r="AY56" i="1"/>
  <c r="AZ56" i="1" s="1"/>
  <c r="BA56" i="1" s="1"/>
  <c r="AY18" i="1"/>
  <c r="AZ18" i="1" s="1"/>
  <c r="BA18" i="1" s="1"/>
  <c r="AY57" i="1"/>
  <c r="AZ57" i="1" s="1"/>
  <c r="BA57" i="1" s="1"/>
  <c r="AY48" i="1"/>
  <c r="AZ48" i="1" s="1"/>
  <c r="BA48" i="1" s="1"/>
  <c r="AY43" i="1"/>
  <c r="AZ43" i="1" s="1"/>
  <c r="BA43" i="1" s="1"/>
  <c r="AY60" i="1"/>
  <c r="AZ60" i="1" s="1"/>
  <c r="BA60" i="1" s="1"/>
  <c r="AY42" i="1"/>
  <c r="AZ42" i="1" s="1"/>
  <c r="BA42" i="1" s="1"/>
  <c r="AY19" i="1"/>
  <c r="AZ19" i="1" s="1"/>
  <c r="BA19" i="1" s="1"/>
  <c r="AY66" i="1"/>
  <c r="AZ66" i="1" s="1"/>
  <c r="BA66" i="1" s="1"/>
  <c r="AY14" i="1"/>
  <c r="AZ14" i="1" s="1"/>
  <c r="BA14" i="1" s="1"/>
  <c r="AY24" i="1"/>
  <c r="AZ24" i="1" s="1"/>
  <c r="BA24" i="1" s="1"/>
  <c r="AY13" i="1"/>
  <c r="AZ13" i="1" s="1"/>
  <c r="BA13" i="1" s="1"/>
  <c r="AY21" i="1"/>
  <c r="AZ21" i="1" s="1"/>
  <c r="BA21" i="1" s="1"/>
  <c r="AY39" i="1"/>
  <c r="AZ39" i="1" s="1"/>
  <c r="BA39" i="1" s="1"/>
  <c r="AY31" i="1"/>
  <c r="AZ31" i="1" s="1"/>
  <c r="BA31" i="1" s="1"/>
  <c r="AY77" i="1"/>
  <c r="AZ77" i="1" s="1"/>
  <c r="BA77" i="1" s="1"/>
  <c r="AY23" i="1"/>
  <c r="AZ23" i="1" s="1"/>
  <c r="BA23" i="1" s="1"/>
  <c r="AY73" i="1"/>
  <c r="AZ73" i="1" s="1"/>
  <c r="BA73" i="1" s="1"/>
  <c r="AY59" i="1"/>
  <c r="AZ59" i="1" s="1"/>
  <c r="BA59" i="1" s="1"/>
  <c r="AY32" i="1"/>
  <c r="AZ32" i="1" s="1"/>
  <c r="BA32" i="1" s="1"/>
  <c r="AY33" i="1"/>
  <c r="AZ33" i="1" s="1"/>
  <c r="BA33" i="1" s="1"/>
  <c r="AY38" i="1"/>
  <c r="AZ38" i="1" s="1"/>
  <c r="BA38" i="1" s="1"/>
  <c r="AY61" i="1"/>
  <c r="AZ61" i="1" s="1"/>
  <c r="BA61" i="1" s="1"/>
  <c r="AY49" i="1"/>
  <c r="AZ49" i="1" s="1"/>
  <c r="BA49" i="1" s="1"/>
  <c r="AY75" i="1"/>
  <c r="AZ75" i="1" s="1"/>
  <c r="BA75" i="1" s="1"/>
  <c r="AY74" i="1"/>
  <c r="AZ74" i="1" s="1"/>
  <c r="BA74" i="1" s="1"/>
  <c r="AY37" i="1"/>
  <c r="AZ37" i="1" s="1"/>
  <c r="BA37" i="1" s="1"/>
  <c r="AY50" i="1"/>
  <c r="AZ50" i="1" s="1"/>
  <c r="BA50" i="1" s="1"/>
  <c r="AY76" i="1"/>
  <c r="AZ76" i="1" s="1"/>
  <c r="BA76" i="1" s="1"/>
  <c r="AY35" i="1"/>
  <c r="AZ35" i="1" s="1"/>
  <c r="BA35" i="1" s="1"/>
  <c r="AY69" i="1"/>
  <c r="AZ69" i="1" s="1"/>
  <c r="BA69" i="1" s="1"/>
  <c r="AY12" i="1"/>
  <c r="AZ12" i="1" s="1"/>
  <c r="BA12" i="1" s="1"/>
  <c r="AY15" i="1"/>
  <c r="AZ15" i="1" s="1"/>
  <c r="BA15" i="1" s="1"/>
  <c r="BI15" i="1"/>
  <c r="BJ15" i="1" s="1"/>
  <c r="BK15" i="1" s="1"/>
  <c r="BI37" i="1"/>
  <c r="BJ37" i="1" s="1"/>
  <c r="BK37" i="1" s="1"/>
  <c r="BI16" i="1"/>
  <c r="BJ16" i="1" s="1"/>
  <c r="BK16" i="1" s="1"/>
  <c r="BI19" i="1"/>
  <c r="BJ19" i="1" s="1"/>
  <c r="BK19" i="1" s="1"/>
  <c r="BI24" i="1"/>
  <c r="BJ24" i="1" s="1"/>
  <c r="BK24" i="1" s="1"/>
  <c r="BI36" i="1"/>
  <c r="BJ36" i="1" s="1"/>
  <c r="BK36" i="1" s="1"/>
  <c r="BI40" i="1"/>
  <c r="BJ40" i="1" s="1"/>
  <c r="BK40" i="1" s="1"/>
  <c r="BI39" i="1"/>
  <c r="BJ39" i="1" s="1"/>
  <c r="BK39" i="1" s="1"/>
  <c r="BI22" i="1"/>
  <c r="BJ22" i="1" s="1"/>
  <c r="BK22" i="1" s="1"/>
  <c r="BI34" i="1"/>
  <c r="BJ34" i="1" s="1"/>
  <c r="BK34" i="1" s="1"/>
  <c r="BI33" i="1"/>
  <c r="BJ33" i="1" s="1"/>
  <c r="BK33" i="1" s="1"/>
  <c r="BI18" i="1"/>
  <c r="BJ18" i="1" s="1"/>
  <c r="BK18" i="1" s="1"/>
  <c r="BI20" i="1"/>
  <c r="BJ20" i="1" s="1"/>
  <c r="BK20" i="1" s="1"/>
  <c r="BI32" i="1"/>
  <c r="BJ32" i="1" s="1"/>
  <c r="BK32" i="1" s="1"/>
  <c r="BI17" i="1"/>
  <c r="BJ17" i="1" s="1"/>
  <c r="BK17" i="1" s="1"/>
  <c r="BI11" i="1"/>
  <c r="BJ11" i="1" s="1"/>
  <c r="BK11" i="1" s="1"/>
  <c r="BI14" i="1"/>
  <c r="BJ14" i="1" s="1"/>
  <c r="BK14" i="1" s="1"/>
  <c r="BI30" i="1"/>
  <c r="BJ30" i="1" s="1"/>
  <c r="BK30" i="1" s="1"/>
  <c r="BI25" i="1"/>
  <c r="BJ25" i="1" s="1"/>
  <c r="BK25" i="1" s="1"/>
  <c r="BI43" i="1"/>
  <c r="BJ43" i="1" s="1"/>
  <c r="BK43" i="1" s="1"/>
  <c r="BI31" i="1"/>
  <c r="BJ31" i="1" s="1"/>
  <c r="BK31" i="1" s="1"/>
  <c r="BI12" i="1"/>
  <c r="BJ12" i="1" s="1"/>
  <c r="BK12" i="1" s="1"/>
  <c r="BI23" i="1"/>
  <c r="BJ23" i="1" s="1"/>
  <c r="BK23" i="1" s="1"/>
  <c r="BS52" i="1"/>
  <c r="BT52" i="1" s="1"/>
  <c r="BU52" i="1" s="1"/>
  <c r="BS13" i="1"/>
  <c r="BT13" i="1" s="1"/>
  <c r="BU13" i="1" s="1"/>
  <c r="BS16" i="1"/>
  <c r="BT16" i="1" s="1"/>
  <c r="BU16" i="1" s="1"/>
  <c r="BS33" i="1"/>
  <c r="BT33" i="1" s="1"/>
  <c r="BU33" i="1" s="1"/>
  <c r="BS51" i="1"/>
  <c r="BT51" i="1" s="1"/>
  <c r="BU51" i="1" s="1"/>
  <c r="BS15" i="1"/>
  <c r="BT15" i="1" s="1"/>
  <c r="BU15" i="1" s="1"/>
  <c r="BS32" i="1"/>
  <c r="BT32" i="1" s="1"/>
  <c r="BU32" i="1" s="1"/>
  <c r="BS36" i="1"/>
  <c r="BT36" i="1" s="1"/>
  <c r="BU36" i="1" s="1"/>
  <c r="BS31" i="1"/>
  <c r="BT31" i="1" s="1"/>
  <c r="BU31" i="1" s="1"/>
  <c r="BS19" i="1"/>
  <c r="BT19" i="1" s="1"/>
  <c r="BU19" i="1" s="1"/>
  <c r="BS55" i="1"/>
  <c r="BT55" i="1" s="1"/>
  <c r="BU55" i="1" s="1"/>
  <c r="BS61" i="1"/>
  <c r="BT61" i="1" s="1"/>
  <c r="BU61" i="1" s="1"/>
  <c r="BS47" i="1"/>
  <c r="BT47" i="1" s="1"/>
  <c r="BU47" i="1" s="1"/>
  <c r="CH15" i="1"/>
  <c r="CI15" i="1" s="1"/>
  <c r="CJ15" i="1" s="1"/>
  <c r="CH20" i="1"/>
  <c r="CI20" i="1" s="1"/>
  <c r="CJ20" i="1" s="1"/>
  <c r="CH22" i="1"/>
  <c r="CI22" i="1" s="1"/>
  <c r="CJ22" i="1" s="1"/>
  <c r="CH12" i="1"/>
  <c r="CI12" i="1" s="1"/>
  <c r="CJ12" i="1" s="1"/>
  <c r="CH24" i="1"/>
  <c r="CI24" i="1" s="1"/>
  <c r="CJ24" i="1" s="1"/>
  <c r="CH19" i="1"/>
  <c r="CI19" i="1" s="1"/>
  <c r="CJ19" i="1" s="1"/>
  <c r="CH23" i="1"/>
  <c r="CI23" i="1" s="1"/>
  <c r="CJ23" i="1" s="1"/>
  <c r="CH21" i="1"/>
  <c r="CI21" i="1" s="1"/>
  <c r="CJ21" i="1" s="1"/>
  <c r="CH18" i="1"/>
  <c r="CI18" i="1" s="1"/>
  <c r="CJ18" i="1" s="1"/>
  <c r="CH14" i="1"/>
  <c r="CI14" i="1" s="1"/>
  <c r="CJ14" i="1" s="1"/>
  <c r="N93" i="5"/>
  <c r="F93" i="5" s="1"/>
  <c r="O93" i="5" s="1"/>
  <c r="H93" i="5" s="1"/>
  <c r="CR13" i="1"/>
  <c r="CS13" i="1" s="1"/>
  <c r="CT13" i="1" s="1"/>
  <c r="BD43" i="1"/>
  <c r="BE43" i="1" s="1"/>
  <c r="BF43" i="1" s="1"/>
  <c r="BS21" i="1"/>
  <c r="BT21" i="1" s="1"/>
  <c r="BU21" i="1" s="1"/>
  <c r="BI38" i="1"/>
  <c r="BJ38" i="1" s="1"/>
  <c r="BK38" i="1" s="1"/>
  <c r="AY30" i="1"/>
  <c r="AZ30" i="1" s="1"/>
  <c r="BA30" i="1" s="1"/>
  <c r="U19" i="5"/>
  <c r="AD19" i="5"/>
  <c r="AY65" i="1"/>
  <c r="AZ65" i="1" s="1"/>
  <c r="BA65" i="1" s="1"/>
  <c r="AO59" i="1"/>
  <c r="AP59" i="1" s="1"/>
  <c r="AQ59" i="1" s="1"/>
  <c r="BS57" i="1"/>
  <c r="BT57" i="1" s="1"/>
  <c r="BU57" i="1" s="1"/>
  <c r="BS49" i="1"/>
  <c r="BT49" i="1" s="1"/>
  <c r="BU49" i="1" s="1"/>
  <c r="AO48" i="1"/>
  <c r="AP48" i="1" s="1"/>
  <c r="AQ48" i="1" s="1"/>
  <c r="BS43" i="1"/>
  <c r="BT43" i="1" s="1"/>
  <c r="BU43" i="1" s="1"/>
  <c r="AY41" i="1"/>
  <c r="AZ41" i="1" s="1"/>
  <c r="BA41" i="1" s="1"/>
  <c r="BS29" i="1"/>
  <c r="BT29" i="1" s="1"/>
  <c r="BU29" i="1" s="1"/>
  <c r="BS25" i="1"/>
  <c r="BT25" i="1" s="1"/>
  <c r="BU25" i="1" s="1"/>
  <c r="AV93" i="5"/>
  <c r="AU93" i="5" s="1"/>
  <c r="L93" i="5"/>
  <c r="C93" i="5" s="1"/>
  <c r="L55" i="5"/>
  <c r="C55" i="5" s="1"/>
  <c r="M55" i="5"/>
  <c r="D55" i="5" s="1"/>
  <c r="BN22" i="1"/>
  <c r="BO22" i="1" s="1"/>
  <c r="BP22" i="1" s="1"/>
  <c r="BN18" i="1"/>
  <c r="BO18" i="1" s="1"/>
  <c r="BP18" i="1" s="1"/>
  <c r="AY16" i="1"/>
  <c r="AZ16" i="1" s="1"/>
  <c r="BA16" i="1" s="1"/>
  <c r="CC15" i="1"/>
  <c r="CD15" i="1" s="1"/>
  <c r="CE15" i="1" s="1"/>
  <c r="BN38" i="1"/>
  <c r="BO38" i="1" s="1"/>
  <c r="BP38" i="1" s="1"/>
  <c r="BN17" i="1"/>
  <c r="BO17" i="1" s="1"/>
  <c r="BP17" i="1" s="1"/>
  <c r="BN35" i="1"/>
  <c r="BO35" i="1" s="1"/>
  <c r="BP35" i="1" s="1"/>
  <c r="BN12" i="1"/>
  <c r="BO12" i="1" s="1"/>
  <c r="BP12" i="1" s="1"/>
  <c r="BN69" i="1"/>
  <c r="BO69" i="1" s="1"/>
  <c r="BP69" i="1" s="1"/>
  <c r="BN33" i="1"/>
  <c r="BO33" i="1" s="1"/>
  <c r="BP33" i="1" s="1"/>
  <c r="BN65" i="1"/>
  <c r="BO65" i="1" s="1"/>
  <c r="BP65" i="1" s="1"/>
  <c r="BN14" i="1"/>
  <c r="BO14" i="1" s="1"/>
  <c r="BP14" i="1" s="1"/>
  <c r="BN30" i="1"/>
  <c r="BO30" i="1" s="1"/>
  <c r="BP30" i="1" s="1"/>
  <c r="BN15" i="1"/>
  <c r="BO15" i="1" s="1"/>
  <c r="BP15" i="1" s="1"/>
  <c r="BN37" i="1"/>
  <c r="BO37" i="1" s="1"/>
  <c r="BP37" i="1" s="1"/>
  <c r="BN42" i="1"/>
  <c r="BO42" i="1" s="1"/>
  <c r="BP42" i="1" s="1"/>
  <c r="BN25" i="1"/>
  <c r="BO25" i="1" s="1"/>
  <c r="BP25" i="1" s="1"/>
  <c r="BN40" i="1"/>
  <c r="BO40" i="1" s="1"/>
  <c r="BP40" i="1" s="1"/>
  <c r="BN41" i="1"/>
  <c r="BO41" i="1" s="1"/>
  <c r="BP41" i="1" s="1"/>
  <c r="BN32" i="1"/>
  <c r="BO32" i="1" s="1"/>
  <c r="BP32" i="1" s="1"/>
  <c r="CH13" i="1"/>
  <c r="CI13" i="1" s="1"/>
  <c r="CJ13" i="1" s="1"/>
  <c r="BD50" i="1"/>
  <c r="BE50" i="1" s="1"/>
  <c r="BF50" i="1" s="1"/>
  <c r="AY36" i="1"/>
  <c r="AZ36" i="1" s="1"/>
  <c r="BA36" i="1" s="1"/>
  <c r="BN11" i="1"/>
  <c r="BO11" i="1" s="1"/>
  <c r="BP11" i="1" s="1"/>
  <c r="BD79" i="1"/>
  <c r="BE79" i="1" s="1"/>
  <c r="BF79" i="1" s="1"/>
  <c r="BX13" i="1"/>
  <c r="BY13" i="1" s="1"/>
  <c r="BZ13" i="1" s="1"/>
  <c r="BD39" i="1"/>
  <c r="BE39" i="1" s="1"/>
  <c r="BF39" i="1" s="1"/>
  <c r="BS60" i="1"/>
  <c r="BT60" i="1" s="1"/>
  <c r="BU60" i="1" s="1"/>
  <c r="CM13" i="1"/>
  <c r="CN13" i="1" s="1"/>
  <c r="CO13" i="1" s="1"/>
  <c r="BS40" i="1"/>
  <c r="BT40" i="1" s="1"/>
  <c r="BU40" i="1" s="1"/>
  <c r="BS24" i="1"/>
  <c r="BT24" i="1" s="1"/>
  <c r="BU24" i="1" s="1"/>
  <c r="CR22" i="1"/>
  <c r="CS22" i="1" s="1"/>
  <c r="CT22" i="1" s="1"/>
  <c r="BN29" i="1"/>
  <c r="BO29" i="1" s="1"/>
  <c r="BP29" i="1" s="1"/>
  <c r="AJ77" i="1"/>
  <c r="AK77" i="1" s="1"/>
  <c r="AL77" i="1" s="1"/>
  <c r="AA13" i="5"/>
  <c r="CR18" i="1"/>
  <c r="CS18" i="1" s="1"/>
  <c r="CT18" i="1" s="1"/>
  <c r="BD61" i="1"/>
  <c r="BE61" i="1" s="1"/>
  <c r="BF61" i="1" s="1"/>
  <c r="BD35" i="1"/>
  <c r="BE35" i="1" s="1"/>
  <c r="BF35" i="1" s="1"/>
  <c r="AV55" i="5"/>
  <c r="AU55" i="5" s="1"/>
  <c r="L39" i="5"/>
  <c r="C39" i="5" s="1"/>
  <c r="G43" i="5"/>
  <c r="CR21" i="1"/>
  <c r="CS21" i="1" s="1"/>
  <c r="CT21" i="1" s="1"/>
  <c r="CM15" i="1"/>
  <c r="CN15" i="1" s="1"/>
  <c r="CO15" i="1" s="1"/>
  <c r="BD41" i="1"/>
  <c r="BE41" i="1" s="1"/>
  <c r="BF41" i="1" s="1"/>
  <c r="AY81" i="1"/>
  <c r="AZ81" i="1" s="1"/>
  <c r="BA81" i="1" s="1"/>
  <c r="AJ47" i="1"/>
  <c r="AK47" i="1" s="1"/>
  <c r="AL47" i="1" s="1"/>
  <c r="AJ68" i="1"/>
  <c r="AK68" i="1" s="1"/>
  <c r="AL68" i="1" s="1"/>
  <c r="E90" i="5"/>
  <c r="G90" i="5"/>
  <c r="DI11" i="1"/>
  <c r="T11" i="5" s="1"/>
  <c r="E16" i="5"/>
  <c r="G16" i="5"/>
  <c r="N77" i="5"/>
  <c r="F77" i="5" s="1"/>
  <c r="O77" i="5" s="1"/>
  <c r="H77" i="5" s="1"/>
  <c r="L77" i="5"/>
  <c r="C77" i="5" s="1"/>
  <c r="M77" i="5"/>
  <c r="D77" i="5" s="1"/>
  <c r="AE88" i="1"/>
  <c r="AF88" i="1" s="1"/>
  <c r="AG88" i="1" s="1"/>
  <c r="AB88" i="1" s="1"/>
  <c r="AC88" i="1" s="1"/>
  <c r="E27" i="5"/>
  <c r="G27" i="5"/>
  <c r="M27" i="5" s="1"/>
  <c r="D27" i="5" s="1"/>
  <c r="G22" i="5"/>
  <c r="E22" i="5"/>
  <c r="T25" i="5"/>
  <c r="AJ43" i="5"/>
  <c r="AS43" i="5" s="1"/>
  <c r="BX16" i="1"/>
  <c r="BY16" i="1" s="1"/>
  <c r="BZ16" i="1" s="1"/>
  <c r="BS39" i="1"/>
  <c r="BT39" i="1" s="1"/>
  <c r="BU39" i="1" s="1"/>
  <c r="BD22" i="1"/>
  <c r="BE22" i="1" s="1"/>
  <c r="BF22" i="1" s="1"/>
  <c r="BD55" i="1"/>
  <c r="BE55" i="1" s="1"/>
  <c r="BF55" i="1" s="1"/>
  <c r="AP17" i="5"/>
  <c r="BX32" i="1"/>
  <c r="BY32" i="1" s="1"/>
  <c r="BZ32" i="1" s="1"/>
  <c r="BI21" i="1"/>
  <c r="BJ21" i="1" s="1"/>
  <c r="BK21" i="1" s="1"/>
  <c r="BD13" i="1"/>
  <c r="BE13" i="1" s="1"/>
  <c r="BF13" i="1" s="1"/>
  <c r="BN16" i="1"/>
  <c r="BO16" i="1" s="1"/>
  <c r="BP16" i="1" s="1"/>
  <c r="AY29" i="1"/>
  <c r="AZ29" i="1" s="1"/>
  <c r="BA29" i="1" s="1"/>
  <c r="BI13" i="1"/>
  <c r="BJ13" i="1" s="1"/>
  <c r="BK13" i="1" s="1"/>
  <c r="CM21" i="1"/>
  <c r="CN21" i="1" s="1"/>
  <c r="CO21" i="1" s="1"/>
  <c r="BX35" i="1"/>
  <c r="BY35" i="1" s="1"/>
  <c r="BZ35" i="1" s="1"/>
  <c r="CM19" i="1"/>
  <c r="CN19" i="1" s="1"/>
  <c r="CO19" i="1" s="1"/>
  <c r="AJ43" i="1"/>
  <c r="AK43" i="1" s="1"/>
  <c r="AL43" i="1" s="1"/>
  <c r="BN21" i="1"/>
  <c r="BO21" i="1" s="1"/>
  <c r="BP21" i="1" s="1"/>
  <c r="AJ65" i="1"/>
  <c r="AK65" i="1" s="1"/>
  <c r="AL65" i="1" s="1"/>
  <c r="BI42" i="1"/>
  <c r="BJ42" i="1" s="1"/>
  <c r="BK42" i="1" s="1"/>
  <c r="BN23" i="1"/>
  <c r="BO23" i="1" s="1"/>
  <c r="BP23" i="1" s="1"/>
  <c r="L57" i="5"/>
  <c r="C57" i="5" s="1"/>
  <c r="AV57" i="5"/>
  <c r="AU57" i="5" s="1"/>
  <c r="AJ22" i="5"/>
  <c r="AS22" i="5" s="1"/>
  <c r="R22" i="5"/>
  <c r="U38" i="5"/>
  <c r="AD38" i="5"/>
  <c r="DI23" i="1"/>
  <c r="T47" i="5" s="1"/>
  <c r="AC46" i="5"/>
  <c r="AT40" i="1"/>
  <c r="AU40" i="1" s="1"/>
  <c r="AV40" i="1" s="1"/>
  <c r="AO39" i="1"/>
  <c r="AP39" i="1" s="1"/>
  <c r="AQ39" i="1" s="1"/>
  <c r="AE38" i="1"/>
  <c r="AF38" i="1" s="1"/>
  <c r="AG38" i="1" s="1"/>
  <c r="BI35" i="1"/>
  <c r="BJ35" i="1" s="1"/>
  <c r="BK35" i="1" s="1"/>
  <c r="AY34" i="1"/>
  <c r="AZ34" i="1" s="1"/>
  <c r="BA34" i="1" s="1"/>
  <c r="AO33" i="1"/>
  <c r="AP33" i="1" s="1"/>
  <c r="AQ33" i="1" s="1"/>
  <c r="AB49" i="5"/>
  <c r="BN24" i="1"/>
  <c r="BO24" i="1" s="1"/>
  <c r="BP24" i="1" s="1"/>
  <c r="BN68" i="1"/>
  <c r="BO68" i="1" s="1"/>
  <c r="BP68" i="1" s="1"/>
  <c r="AE23" i="1"/>
  <c r="AF23" i="1" s="1"/>
  <c r="AG23" i="1" s="1"/>
  <c r="AJ51" i="1"/>
  <c r="AK51" i="1" s="1"/>
  <c r="AL51" i="1" s="1"/>
  <c r="AY54" i="1"/>
  <c r="AZ54" i="1" s="1"/>
  <c r="BA54" i="1" s="1"/>
  <c r="AE86" i="1"/>
  <c r="AF86" i="1" s="1"/>
  <c r="AG86" i="1" s="1"/>
  <c r="AB86" i="1" s="1"/>
  <c r="AC86" i="1" s="1"/>
  <c r="AD17" i="5"/>
  <c r="U17" i="5"/>
  <c r="AJ23" i="1"/>
  <c r="AK23" i="1" s="1"/>
  <c r="AL23" i="1" s="1"/>
  <c r="AY53" i="1"/>
  <c r="AZ53" i="1" s="1"/>
  <c r="BA53" i="1" s="1"/>
  <c r="BD54" i="1"/>
  <c r="BE54" i="1" s="1"/>
  <c r="BF54" i="1" s="1"/>
  <c r="BN67" i="1"/>
  <c r="BO67" i="1" s="1"/>
  <c r="BP67" i="1" s="1"/>
  <c r="AP51" i="1"/>
  <c r="AQ51" i="1" s="1"/>
  <c r="AO23" i="1"/>
  <c r="AP23" i="1" s="1"/>
  <c r="AQ23" i="1" s="1"/>
  <c r="AT51" i="1"/>
  <c r="AU51" i="1" s="1"/>
  <c r="AV51" i="1" s="1"/>
  <c r="AY52" i="1"/>
  <c r="AZ52" i="1" s="1"/>
  <c r="BA52" i="1" s="1"/>
  <c r="BS54" i="1"/>
  <c r="BT54" i="1" s="1"/>
  <c r="BU54" i="1" s="1"/>
  <c r="L65" i="5"/>
  <c r="C65" i="5" s="1"/>
  <c r="M65" i="5"/>
  <c r="D65" i="5" s="1"/>
  <c r="U14" i="5"/>
  <c r="AD14" i="5"/>
  <c r="AJ59" i="1"/>
  <c r="AK59" i="1" s="1"/>
  <c r="AL59" i="1" s="1"/>
  <c r="AJ56" i="1"/>
  <c r="AK56" i="1" s="1"/>
  <c r="AL56" i="1" s="1"/>
  <c r="BD49" i="1"/>
  <c r="BE49" i="1" s="1"/>
  <c r="BF49" i="1" s="1"/>
  <c r="BN43" i="1"/>
  <c r="BO43" i="1" s="1"/>
  <c r="BP43" i="1" s="1"/>
  <c r="AT41" i="1"/>
  <c r="AU41" i="1" s="1"/>
  <c r="AV41" i="1" s="1"/>
  <c r="CC30" i="1"/>
  <c r="CD30" i="1" s="1"/>
  <c r="CE30" i="1" s="1"/>
  <c r="CR23" i="1"/>
  <c r="CS23" i="1" s="1"/>
  <c r="CT23" i="1" s="1"/>
  <c r="AY67" i="1"/>
  <c r="AZ67" i="1" s="1"/>
  <c r="BA67" i="1" s="1"/>
  <c r="BN66" i="1"/>
  <c r="BO66" i="1" s="1"/>
  <c r="BP66" i="1" s="1"/>
  <c r="E47" i="5"/>
  <c r="G47" i="5"/>
  <c r="G112" i="5"/>
  <c r="L112" i="5" s="1"/>
  <c r="C112" i="5" s="1"/>
  <c r="E112" i="5"/>
  <c r="AO82" i="1"/>
  <c r="AP82" i="1" s="1"/>
  <c r="AQ82" i="1" s="1"/>
  <c r="AY80" i="1"/>
  <c r="AZ80" i="1" s="1"/>
  <c r="BA80" i="1" s="1"/>
  <c r="AY78" i="1"/>
  <c r="AZ78" i="1" s="1"/>
  <c r="BA78" i="1" s="1"/>
  <c r="AJ74" i="1"/>
  <c r="AK74" i="1" s="1"/>
  <c r="AL74" i="1" s="1"/>
  <c r="G19" i="5"/>
  <c r="E19" i="5"/>
  <c r="G40" i="5"/>
  <c r="N40" i="5" s="1"/>
  <c r="F40" i="5" s="1"/>
  <c r="O40" i="5" s="1"/>
  <c r="H40" i="5" s="1"/>
  <c r="E40" i="5"/>
  <c r="L82" i="5"/>
  <c r="C82" i="5" s="1"/>
  <c r="N82" i="5"/>
  <c r="F82" i="5" s="1"/>
  <c r="O82" i="5" s="1"/>
  <c r="H82" i="5" s="1"/>
  <c r="AV45" i="5"/>
  <c r="AU45" i="5" s="1"/>
  <c r="L45" i="5"/>
  <c r="C45" i="5" s="1"/>
  <c r="N45" i="5"/>
  <c r="F45" i="5" s="1"/>
  <c r="O45" i="5" s="1"/>
  <c r="H45" i="5" s="1"/>
  <c r="DI13" i="1"/>
  <c r="T16" i="5"/>
  <c r="AV79" i="5"/>
  <c r="AU79" i="5" s="1"/>
  <c r="N79" i="5"/>
  <c r="F79" i="5" s="1"/>
  <c r="O79" i="5" s="1"/>
  <c r="H79" i="5" s="1"/>
  <c r="M98" i="5"/>
  <c r="D98" i="5" s="1"/>
  <c r="L98" i="5"/>
  <c r="C98" i="5" s="1"/>
  <c r="CC22" i="1"/>
  <c r="CD22" i="1" s="1"/>
  <c r="CE22" i="1" s="1"/>
  <c r="CC38" i="1"/>
  <c r="CD38" i="1" s="1"/>
  <c r="CE38" i="1" s="1"/>
  <c r="CC50" i="1"/>
  <c r="CD50" i="1" s="1"/>
  <c r="CE50" i="1" s="1"/>
  <c r="CC23" i="1"/>
  <c r="CD23" i="1" s="1"/>
  <c r="CE23" i="1" s="1"/>
  <c r="AJ81" i="1"/>
  <c r="AK81" i="1" s="1"/>
  <c r="AL81" i="1" s="1"/>
  <c r="AO77" i="1"/>
  <c r="AP77" i="1" s="1"/>
  <c r="AQ77" i="1" s="1"/>
  <c r="AE55" i="1"/>
  <c r="AF55" i="1" s="1"/>
  <c r="AG55" i="1" s="1"/>
  <c r="AE20" i="1"/>
  <c r="AF20" i="1" s="1"/>
  <c r="AG20" i="1" s="1"/>
  <c r="AE25" i="1"/>
  <c r="AF25" i="1" s="1"/>
  <c r="AG25" i="1" s="1"/>
  <c r="AE69" i="1"/>
  <c r="AF69" i="1" s="1"/>
  <c r="AG69" i="1" s="1"/>
  <c r="AE56" i="1"/>
  <c r="AF56" i="1" s="1"/>
  <c r="AG56" i="1" s="1"/>
  <c r="AE52" i="1"/>
  <c r="AF52" i="1" s="1"/>
  <c r="AG52" i="1" s="1"/>
  <c r="AE13" i="1"/>
  <c r="AF13" i="1" s="1"/>
  <c r="AG13" i="1" s="1"/>
  <c r="AE40" i="1"/>
  <c r="AF40" i="1" s="1"/>
  <c r="AG40" i="1" s="1"/>
  <c r="AE34" i="1"/>
  <c r="AF34" i="1" s="1"/>
  <c r="AG34" i="1" s="1"/>
  <c r="AE65" i="1"/>
  <c r="AF65" i="1" s="1"/>
  <c r="AG65" i="1" s="1"/>
  <c r="AE49" i="1"/>
  <c r="AF49" i="1" s="1"/>
  <c r="AG49" i="1" s="1"/>
  <c r="AE16" i="1"/>
  <c r="AF16" i="1" s="1"/>
  <c r="AG16" i="1" s="1"/>
  <c r="AE21" i="1"/>
  <c r="AF21" i="1" s="1"/>
  <c r="AG21" i="1" s="1"/>
  <c r="AE19" i="1"/>
  <c r="AF19" i="1" s="1"/>
  <c r="AG19" i="1" s="1"/>
  <c r="AE66" i="1"/>
  <c r="AF66" i="1" s="1"/>
  <c r="AG66" i="1" s="1"/>
  <c r="AE17" i="1"/>
  <c r="AF17" i="1" s="1"/>
  <c r="AG17" i="1" s="1"/>
  <c r="AE22" i="1"/>
  <c r="AF22" i="1" s="1"/>
  <c r="AG22" i="1" s="1"/>
  <c r="AT74" i="1"/>
  <c r="AU74" i="1" s="1"/>
  <c r="AV74" i="1" s="1"/>
  <c r="AT36" i="1"/>
  <c r="AU36" i="1" s="1"/>
  <c r="AV36" i="1" s="1"/>
  <c r="AT78" i="1"/>
  <c r="AU78" i="1" s="1"/>
  <c r="AV78" i="1" s="1"/>
  <c r="AT11" i="1"/>
  <c r="AU11" i="1" s="1"/>
  <c r="AV11" i="1" s="1"/>
  <c r="AT49" i="1"/>
  <c r="AU49" i="1" s="1"/>
  <c r="AV49" i="1" s="1"/>
  <c r="AT15" i="1"/>
  <c r="AU15" i="1" s="1"/>
  <c r="AV15" i="1" s="1"/>
  <c r="AT32" i="1"/>
  <c r="AU32" i="1" s="1"/>
  <c r="AV32" i="1" s="1"/>
  <c r="AT79" i="1"/>
  <c r="AU79" i="1" s="1"/>
  <c r="AV79" i="1" s="1"/>
  <c r="AT59" i="1"/>
  <c r="AU59" i="1" s="1"/>
  <c r="AV59" i="1" s="1"/>
  <c r="AT23" i="1"/>
  <c r="AU23" i="1" s="1"/>
  <c r="AV23" i="1" s="1"/>
  <c r="AT81" i="1"/>
  <c r="AU81" i="1" s="1"/>
  <c r="AV81" i="1" s="1"/>
  <c r="AT13" i="1"/>
  <c r="AU13" i="1" s="1"/>
  <c r="AV13" i="1" s="1"/>
  <c r="AT80" i="1"/>
  <c r="AU80" i="1" s="1"/>
  <c r="AV80" i="1" s="1"/>
  <c r="AT38" i="1"/>
  <c r="AU38" i="1" s="1"/>
  <c r="AV38" i="1" s="1"/>
  <c r="AT75" i="1"/>
  <c r="AU75" i="1" s="1"/>
  <c r="AV75" i="1" s="1"/>
  <c r="AT73" i="1"/>
  <c r="AU73" i="1" s="1"/>
  <c r="AV73" i="1" s="1"/>
  <c r="AT50" i="1"/>
  <c r="AU50" i="1" s="1"/>
  <c r="AV50" i="1" s="1"/>
  <c r="AT76" i="1"/>
  <c r="AU76" i="1" s="1"/>
  <c r="AV76" i="1" s="1"/>
  <c r="AT42" i="1"/>
  <c r="AU42" i="1" s="1"/>
  <c r="AV42" i="1" s="1"/>
  <c r="BS59" i="1"/>
  <c r="BT59" i="1" s="1"/>
  <c r="BU59" i="1" s="1"/>
  <c r="BS37" i="1"/>
  <c r="BT37" i="1" s="1"/>
  <c r="BU37" i="1" s="1"/>
  <c r="BS41" i="1"/>
  <c r="BT41" i="1" s="1"/>
  <c r="BU41" i="1" s="1"/>
  <c r="BS50" i="1"/>
  <c r="BT50" i="1" s="1"/>
  <c r="BU50" i="1" s="1"/>
  <c r="BS20" i="1"/>
  <c r="BT20" i="1" s="1"/>
  <c r="BU20" i="1" s="1"/>
  <c r="BS18" i="1"/>
  <c r="BT18" i="1" s="1"/>
  <c r="BU18" i="1" s="1"/>
  <c r="BS53" i="1"/>
  <c r="BT53" i="1" s="1"/>
  <c r="BU53" i="1" s="1"/>
  <c r="BS38" i="1"/>
  <c r="BT38" i="1" s="1"/>
  <c r="BU38" i="1" s="1"/>
  <c r="BS48" i="1"/>
  <c r="BT48" i="1" s="1"/>
  <c r="BU48" i="1" s="1"/>
  <c r="BS34" i="1"/>
  <c r="BT34" i="1" s="1"/>
  <c r="BU34" i="1" s="1"/>
  <c r="BS17" i="1"/>
  <c r="BT17" i="1" s="1"/>
  <c r="BU17" i="1" s="1"/>
  <c r="BS22" i="1"/>
  <c r="BT22" i="1" s="1"/>
  <c r="BU22" i="1" s="1"/>
  <c r="BS42" i="1"/>
  <c r="BT42" i="1" s="1"/>
  <c r="BU42" i="1" s="1"/>
  <c r="BS23" i="1"/>
  <c r="BT23" i="1" s="1"/>
  <c r="BU23" i="1" s="1"/>
  <c r="BS35" i="1"/>
  <c r="BT35" i="1" s="1"/>
  <c r="BU35" i="1" s="1"/>
  <c r="BS56" i="1"/>
  <c r="BT56" i="1" s="1"/>
  <c r="BU56" i="1" s="1"/>
  <c r="G34" i="5"/>
  <c r="M34" i="5" s="1"/>
  <c r="D34" i="5" s="1"/>
  <c r="E34" i="5"/>
  <c r="CM17" i="1"/>
  <c r="CN17" i="1" s="1"/>
  <c r="CO17" i="1" s="1"/>
  <c r="BS14" i="1"/>
  <c r="BT14" i="1" s="1"/>
  <c r="BU14" i="1" s="1"/>
  <c r="CR11" i="1"/>
  <c r="CS11" i="1" s="1"/>
  <c r="CT11" i="1" s="1"/>
  <c r="CM23" i="1"/>
  <c r="CN23" i="1" s="1"/>
  <c r="CO23" i="1" s="1"/>
  <c r="R13" i="5"/>
  <c r="AN13" i="5"/>
  <c r="M64" i="5"/>
  <c r="D64" i="5" s="1"/>
  <c r="L64" i="5"/>
  <c r="C64" i="5" s="1"/>
  <c r="CC12" i="1"/>
  <c r="CD12" i="1" s="1"/>
  <c r="CE12" i="1" s="1"/>
  <c r="CC21" i="1"/>
  <c r="CD21" i="1" s="1"/>
  <c r="CE21" i="1" s="1"/>
  <c r="CC52" i="1"/>
  <c r="CD52" i="1" s="1"/>
  <c r="CE52" i="1" s="1"/>
  <c r="CC40" i="1"/>
  <c r="CD40" i="1" s="1"/>
  <c r="CE40" i="1" s="1"/>
  <c r="CC61" i="1"/>
  <c r="CD61" i="1" s="1"/>
  <c r="CE61" i="1" s="1"/>
  <c r="CC54" i="1"/>
  <c r="CD54" i="1" s="1"/>
  <c r="CE54" i="1" s="1"/>
  <c r="CC19" i="1"/>
  <c r="CD19" i="1" s="1"/>
  <c r="CE19" i="1" s="1"/>
  <c r="AJ80" i="1"/>
  <c r="AK80" i="1" s="1"/>
  <c r="AL80" i="1" s="1"/>
  <c r="AJ76" i="1"/>
  <c r="AK76" i="1" s="1"/>
  <c r="AL76" i="1" s="1"/>
  <c r="AP37" i="5"/>
  <c r="AP13" i="5"/>
  <c r="CR12" i="1"/>
  <c r="CS12" i="1" s="1"/>
  <c r="CT12" i="1" s="1"/>
  <c r="CC18" i="1"/>
  <c r="CD18" i="1" s="1"/>
  <c r="CE18" i="1" s="1"/>
  <c r="CC35" i="1"/>
  <c r="CD35" i="1" s="1"/>
  <c r="CE35" i="1" s="1"/>
  <c r="CR19" i="1"/>
  <c r="CS19" i="1" s="1"/>
  <c r="CT19" i="1" s="1"/>
  <c r="CC49" i="1"/>
  <c r="CD49" i="1" s="1"/>
  <c r="CE49" i="1" s="1"/>
  <c r="AT65" i="1"/>
  <c r="AU65" i="1" s="1"/>
  <c r="AV65" i="1" s="1"/>
  <c r="AY58" i="1"/>
  <c r="AZ58" i="1" s="1"/>
  <c r="BA58" i="1" s="1"/>
  <c r="AY55" i="1"/>
  <c r="AZ55" i="1" s="1"/>
  <c r="BA55" i="1" s="1"/>
  <c r="AE89" i="1"/>
  <c r="AF89" i="1" s="1"/>
  <c r="AG89" i="1" s="1"/>
  <c r="AB89" i="1" s="1"/>
  <c r="AC89" i="1" s="1"/>
  <c r="W89" i="1" s="1"/>
  <c r="T89" i="1" s="1"/>
  <c r="AV107" i="5"/>
  <c r="AU107" i="5" s="1"/>
  <c r="M107" i="5"/>
  <c r="D107" i="5" s="1"/>
  <c r="AT61" i="1"/>
  <c r="AU61" i="1" s="1"/>
  <c r="AV61" i="1" s="1"/>
  <c r="AT55" i="1"/>
  <c r="AU55" i="1" s="1"/>
  <c r="AV55" i="1" s="1"/>
  <c r="CC48" i="1"/>
  <c r="CD48" i="1" s="1"/>
  <c r="CE48" i="1" s="1"/>
  <c r="BN31" i="1"/>
  <c r="BO31" i="1" s="1"/>
  <c r="BP31" i="1" s="1"/>
  <c r="AJ24" i="1"/>
  <c r="AK24" i="1" s="1"/>
  <c r="AL24" i="1" s="1"/>
  <c r="AA49" i="5"/>
  <c r="R49" i="5"/>
  <c r="S49" i="5"/>
  <c r="AV42" i="5"/>
  <c r="AU42" i="5" s="1"/>
  <c r="M42" i="5"/>
  <c r="D42" i="5" s="1"/>
  <c r="U16" i="5"/>
  <c r="AD16" i="5"/>
  <c r="AJ61" i="1"/>
  <c r="AK61" i="1" s="1"/>
  <c r="AL61" i="1" s="1"/>
  <c r="AJ55" i="1"/>
  <c r="AK55" i="1" s="1"/>
  <c r="AL55" i="1" s="1"/>
  <c r="BN36" i="1"/>
  <c r="BO36" i="1" s="1"/>
  <c r="BP36" i="1" s="1"/>
  <c r="U13" i="5"/>
  <c r="U26" i="5"/>
  <c r="AD26" i="5"/>
  <c r="CC11" i="1"/>
  <c r="CD11" i="1" s="1"/>
  <c r="CE11" i="1" s="1"/>
  <c r="AE87" i="1"/>
  <c r="AF87" i="1" s="1"/>
  <c r="AG87" i="1" s="1"/>
  <c r="AB87" i="1" s="1"/>
  <c r="AC87" i="1" s="1"/>
  <c r="AJ49" i="1"/>
  <c r="AK49" i="1" s="1"/>
  <c r="AL49" i="1" s="1"/>
  <c r="AY22" i="1"/>
  <c r="AZ22" i="1" s="1"/>
  <c r="BA22" i="1" s="1"/>
  <c r="M59" i="5"/>
  <c r="D59" i="5" s="1"/>
  <c r="AV59" i="5"/>
  <c r="AU59" i="5" s="1"/>
  <c r="AE58" i="1"/>
  <c r="AF58" i="1" s="1"/>
  <c r="AG58" i="1" s="1"/>
  <c r="CM24" i="1"/>
  <c r="CN24" i="1" s="1"/>
  <c r="CO24" i="1" s="1"/>
  <c r="AY51" i="1"/>
  <c r="AZ51" i="1" s="1"/>
  <c r="BA51" i="1" s="1"/>
  <c r="BN34" i="1"/>
  <c r="BO34" i="1" s="1"/>
  <c r="BP34" i="1" s="1"/>
  <c r="AF92" i="1"/>
  <c r="AG92" i="1" s="1"/>
  <c r="AB92" i="1" s="1"/>
  <c r="AC92" i="1" s="1"/>
  <c r="AJ67" i="1"/>
  <c r="AK67" i="1" s="1"/>
  <c r="AL67" i="1" s="1"/>
  <c r="J54" i="5"/>
  <c r="G54" i="5" s="1"/>
  <c r="L67" i="5"/>
  <c r="C67" i="5" s="1"/>
  <c r="AP66" i="1"/>
  <c r="AQ66" i="1" s="1"/>
  <c r="AD37" i="5"/>
  <c r="E80" i="5"/>
  <c r="G80" i="5"/>
  <c r="M80" i="5" s="1"/>
  <c r="D80" i="5" s="1"/>
  <c r="DX87" i="4"/>
  <c r="DZ87" i="4" s="1"/>
  <c r="DL16" i="4"/>
  <c r="DN16" i="4" s="1"/>
  <c r="EJ28" i="4"/>
  <c r="EL28" i="4" s="1"/>
  <c r="DX114" i="4"/>
  <c r="DZ114" i="4" s="1"/>
  <c r="DX43" i="4"/>
  <c r="DZ43" i="4" s="1"/>
  <c r="DF219" i="4"/>
  <c r="DH219" i="4" s="1"/>
  <c r="DX83" i="4"/>
  <c r="DZ83" i="4" s="1"/>
  <c r="ED38" i="4"/>
  <c r="EF38" i="4" s="1"/>
  <c r="DX38" i="4"/>
  <c r="DZ38" i="4" s="1"/>
  <c r="EJ53" i="4"/>
  <c r="EL53" i="4" s="1"/>
  <c r="DR25" i="4"/>
  <c r="DT25" i="4" s="1"/>
  <c r="DX73" i="4"/>
  <c r="DZ73" i="4" s="1"/>
  <c r="DF147" i="4"/>
  <c r="DH147" i="4" s="1"/>
  <c r="DF72" i="4"/>
  <c r="DH72" i="4" s="1"/>
  <c r="EJ176" i="4"/>
  <c r="EL176" i="4" s="1"/>
  <c r="DF286" i="4"/>
  <c r="DH286" i="4" s="1"/>
  <c r="DF162" i="4"/>
  <c r="DH162" i="4" s="1"/>
  <c r="DF24" i="4"/>
  <c r="DH24" i="4" s="1"/>
  <c r="DR82" i="4"/>
  <c r="DT82" i="4" s="1"/>
  <c r="DF49" i="4"/>
  <c r="DH49" i="4" s="1"/>
  <c r="DL18" i="4"/>
  <c r="DN18" i="4" s="1"/>
  <c r="DF251" i="4"/>
  <c r="DH251" i="4" s="1"/>
  <c r="DX81" i="4"/>
  <c r="DZ81" i="4" s="1"/>
  <c r="DF221" i="4"/>
  <c r="DH221" i="4" s="1"/>
  <c r="DR69" i="4"/>
  <c r="DT69" i="4" s="1"/>
  <c r="DL19" i="4"/>
  <c r="DN19" i="4" s="1"/>
  <c r="ED13" i="4"/>
  <c r="EF13" i="4" s="1"/>
  <c r="ED12" i="4"/>
  <c r="EF12" i="4" s="1"/>
  <c r="EJ43" i="4"/>
  <c r="EL43" i="4" s="1"/>
  <c r="DF66" i="4"/>
  <c r="DH66" i="4" s="1"/>
  <c r="DX95" i="4"/>
  <c r="DZ95" i="4" s="1"/>
  <c r="DR67" i="4"/>
  <c r="DT67" i="4" s="1"/>
  <c r="DF99" i="4"/>
  <c r="DH99" i="4" s="1"/>
  <c r="ED19" i="4"/>
  <c r="EF19" i="4" s="1"/>
  <c r="DR74" i="4"/>
  <c r="DT74" i="4" s="1"/>
  <c r="DF284" i="4"/>
  <c r="DH284" i="4" s="1"/>
  <c r="DR15" i="4"/>
  <c r="DT15" i="4" s="1"/>
  <c r="DR88" i="4"/>
  <c r="DT88" i="4" s="1"/>
  <c r="DF263" i="4"/>
  <c r="DH263" i="4" s="1"/>
  <c r="DX118" i="4"/>
  <c r="DZ118" i="4" s="1"/>
  <c r="DX147" i="4"/>
  <c r="DZ147" i="4" s="1"/>
  <c r="DX94" i="4"/>
  <c r="DZ94" i="4" s="1"/>
  <c r="EJ179" i="4"/>
  <c r="EL179" i="4" s="1"/>
  <c r="ED25" i="4"/>
  <c r="EF25" i="4" s="1"/>
  <c r="DF106" i="4"/>
  <c r="DH106" i="4" s="1"/>
  <c r="DX75" i="4"/>
  <c r="DZ75" i="4" s="1"/>
  <c r="EJ14" i="4"/>
  <c r="EL14" i="4" s="1"/>
  <c r="AE11" i="1"/>
  <c r="AF11" i="1" s="1"/>
  <c r="AG11" i="1" s="1"/>
  <c r="AY11" i="1"/>
  <c r="AZ11" i="1" s="1"/>
  <c r="BA11" i="1" s="1"/>
  <c r="L52" i="5"/>
  <c r="C52" i="5" s="1"/>
  <c r="M52" i="5"/>
  <c r="D52" i="5" s="1"/>
  <c r="AV52" i="5"/>
  <c r="AU52" i="5" s="1"/>
  <c r="N52" i="5"/>
  <c r="F52" i="5" s="1"/>
  <c r="O52" i="5" s="1"/>
  <c r="H52" i="5" s="1"/>
  <c r="L80" i="5"/>
  <c r="C80" i="5" s="1"/>
  <c r="AV80" i="5"/>
  <c r="AU80" i="5" s="1"/>
  <c r="H70" i="5"/>
  <c r="F70" i="5" s="1"/>
  <c r="G70" i="5"/>
  <c r="AV112" i="5"/>
  <c r="AU112" i="5" s="1"/>
  <c r="L75" i="5"/>
  <c r="C75" i="5" s="1"/>
  <c r="N75" i="5"/>
  <c r="F75" i="5" s="1"/>
  <c r="O75" i="5" s="1"/>
  <c r="H75" i="5" s="1"/>
  <c r="M75" i="5"/>
  <c r="D75" i="5" s="1"/>
  <c r="AV75" i="5"/>
  <c r="AU75" i="5" s="1"/>
  <c r="L19" i="5"/>
  <c r="C19" i="5" s="1"/>
  <c r="M19" i="5"/>
  <c r="D19" i="5" s="1"/>
  <c r="N19" i="5"/>
  <c r="F19" i="5" s="1"/>
  <c r="O19" i="5" s="1"/>
  <c r="H19" i="5" s="1"/>
  <c r="AV19" i="5"/>
  <c r="AU19" i="5" s="1"/>
  <c r="N16" i="5"/>
  <c r="F16" i="5" s="1"/>
  <c r="O16" i="5" s="1"/>
  <c r="H16" i="5" s="1"/>
  <c r="L16" i="5"/>
  <c r="C16" i="5" s="1"/>
  <c r="M16" i="5"/>
  <c r="D16" i="5" s="1"/>
  <c r="AV16" i="5"/>
  <c r="AU16" i="5" s="1"/>
  <c r="L43" i="5"/>
  <c r="C43" i="5" s="1"/>
  <c r="AV43" i="5"/>
  <c r="AU43" i="5" s="1"/>
  <c r="N43" i="5"/>
  <c r="F43" i="5" s="1"/>
  <c r="O43" i="5" s="1"/>
  <c r="H43" i="5" s="1"/>
  <c r="M43" i="5"/>
  <c r="D43" i="5" s="1"/>
  <c r="N27" i="5"/>
  <c r="F27" i="5" s="1"/>
  <c r="O27" i="5" s="1"/>
  <c r="H27" i="5" s="1"/>
  <c r="H54" i="5"/>
  <c r="F54" i="5" s="1"/>
  <c r="M40" i="5"/>
  <c r="D40" i="5" s="1"/>
  <c r="L40" i="5"/>
  <c r="C40" i="5" s="1"/>
  <c r="N22" i="5"/>
  <c r="F22" i="5" s="1"/>
  <c r="O22" i="5" s="1"/>
  <c r="H22" i="5" s="1"/>
  <c r="L22" i="5"/>
  <c r="C22" i="5"/>
  <c r="M22" i="5"/>
  <c r="D22" i="5" s="1"/>
  <c r="AV22" i="5"/>
  <c r="AU22" i="5" s="1"/>
  <c r="N90" i="5"/>
  <c r="F90" i="5" s="1"/>
  <c r="O90" i="5" s="1"/>
  <c r="H90" i="5" s="1"/>
  <c r="L90" i="5"/>
  <c r="C90" i="5" s="1"/>
  <c r="M90" i="5"/>
  <c r="D90" i="5"/>
  <c r="AV90" i="5"/>
  <c r="AU90" i="5" s="1"/>
  <c r="AP11" i="5"/>
  <c r="N12" i="5"/>
  <c r="F12" i="5" s="1"/>
  <c r="O12" i="5" s="1"/>
  <c r="H12" i="5" s="1"/>
  <c r="AV12" i="5"/>
  <c r="AU12" i="5" s="1"/>
  <c r="M12" i="5"/>
  <c r="D12" i="5" s="1"/>
  <c r="E44" i="5"/>
  <c r="G44" i="5"/>
  <c r="N44" i="5" s="1"/>
  <c r="F44" i="5" s="1"/>
  <c r="O44" i="5" s="1"/>
  <c r="H44" i="5" s="1"/>
  <c r="AA29" i="5"/>
  <c r="AG25" i="5"/>
  <c r="AJ17" i="5"/>
  <c r="AS17" i="5" s="1"/>
  <c r="AN19" i="5"/>
  <c r="AP29" i="5"/>
  <c r="Y28" i="5"/>
  <c r="AD41" i="5"/>
  <c r="AC13" i="5"/>
  <c r="T22" i="5"/>
  <c r="AP10" i="5"/>
  <c r="AD10" i="5"/>
  <c r="AC28" i="5"/>
  <c r="AD11" i="5"/>
  <c r="BD11" i="1"/>
  <c r="BE11" i="1" s="1"/>
  <c r="BF11" i="1" s="1"/>
  <c r="U11" i="1"/>
  <c r="Y37" i="5"/>
  <c r="AO57" i="1"/>
  <c r="AP57" i="1" s="1"/>
  <c r="AQ57" i="1" s="1"/>
  <c r="S16" i="5"/>
  <c r="AP50" i="5"/>
  <c r="AJ37" i="5"/>
  <c r="AS37" i="5" s="1"/>
  <c r="L9" i="5"/>
  <c r="C9" i="5" s="1"/>
  <c r="AC20" i="5"/>
  <c r="T20" i="5"/>
  <c r="DI18" i="1"/>
  <c r="AC32" i="5" s="1"/>
  <c r="AC31" i="5"/>
  <c r="R26" i="5"/>
  <c r="AJ26" i="5"/>
  <c r="AS26" i="5" s="1"/>
  <c r="AP26" i="5"/>
  <c r="AA26" i="5"/>
  <c r="AP20" i="5"/>
  <c r="AJ20" i="5"/>
  <c r="AS20" i="5" s="1"/>
  <c r="AG16" i="5"/>
  <c r="X16" i="5"/>
  <c r="AP32" i="5"/>
  <c r="AJ32" i="5"/>
  <c r="AS32" i="5" s="1"/>
  <c r="Y10" i="5"/>
  <c r="AH10" i="5"/>
  <c r="Y25" i="5"/>
  <c r="AH25" i="5"/>
  <c r="AC53" i="5"/>
  <c r="M9" i="5"/>
  <c r="D9" i="5" s="1"/>
  <c r="AC23" i="5"/>
  <c r="X10" i="5"/>
  <c r="U47" i="5"/>
  <c r="S53" i="5"/>
  <c r="AJ38" i="5"/>
  <c r="AS38" i="5" s="1"/>
  <c r="BD67" i="1"/>
  <c r="BE67" i="1" s="1"/>
  <c r="BF67" i="1" s="1"/>
  <c r="T41" i="5"/>
  <c r="AC43" i="5"/>
  <c r="R41" i="5"/>
  <c r="AG49" i="5"/>
  <c r="AV9" i="5"/>
  <c r="AU9" i="5" s="1"/>
  <c r="N9" i="5"/>
  <c r="F9" i="5" s="1"/>
  <c r="O9" i="5" s="1"/>
  <c r="H9" i="5" s="1"/>
  <c r="X11" i="1"/>
  <c r="DH135" i="4" l="1"/>
  <c r="DH137" i="4"/>
  <c r="M13" i="5"/>
  <c r="D13" i="5" s="1"/>
  <c r="L13" i="5"/>
  <c r="C13" i="5" s="1"/>
  <c r="AV13" i="5"/>
  <c r="AU13" i="5" s="1"/>
  <c r="N13" i="5"/>
  <c r="F13" i="5" s="1"/>
  <c r="O13" i="5" s="1"/>
  <c r="H13" i="5" s="1"/>
  <c r="DH48" i="4"/>
  <c r="DH41" i="4"/>
  <c r="DH42" i="4"/>
  <c r="DH136" i="4"/>
  <c r="DH134" i="4"/>
  <c r="AJ9" i="5" s="1"/>
  <c r="AS9" i="5" s="1"/>
  <c r="AH13" i="5"/>
  <c r="AP44" i="5"/>
  <c r="AJ49" i="5"/>
  <c r="AS49" i="5" s="1"/>
  <c r="AA34" i="5"/>
  <c r="AJ25" i="5"/>
  <c r="AS25" i="5" s="1"/>
  <c r="CR17" i="1"/>
  <c r="CS17" i="1" s="1"/>
  <c r="CT17" i="1" s="1"/>
  <c r="CM14" i="1"/>
  <c r="CN14" i="1" s="1"/>
  <c r="CO14" i="1" s="1"/>
  <c r="AP19" i="5"/>
  <c r="BS30" i="1"/>
  <c r="BT30" i="1" s="1"/>
  <c r="BU30" i="1" s="1"/>
  <c r="AJ21" i="1"/>
  <c r="AK21" i="1" s="1"/>
  <c r="AL21" i="1" s="1"/>
  <c r="AJ16" i="5"/>
  <c r="AS16" i="5" s="1"/>
  <c r="AP16" i="5"/>
  <c r="X40" i="5"/>
  <c r="AN40" i="5"/>
  <c r="AG28" i="5"/>
  <c r="AN28" i="5"/>
  <c r="BD66" i="1"/>
  <c r="BE66" i="1" s="1"/>
  <c r="BF66" i="1" s="1"/>
  <c r="BD31" i="1"/>
  <c r="BE31" i="1" s="1"/>
  <c r="BF31" i="1" s="1"/>
  <c r="G11" i="5"/>
  <c r="E11" i="5"/>
  <c r="N53" i="5"/>
  <c r="F53" i="5" s="1"/>
  <c r="O53" i="5" s="1"/>
  <c r="H53" i="5" s="1"/>
  <c r="AV53" i="5"/>
  <c r="AU53" i="5" s="1"/>
  <c r="CC24" i="1"/>
  <c r="CD24" i="1" s="1"/>
  <c r="CE24" i="1" s="1"/>
  <c r="CC20" i="1"/>
  <c r="CD20" i="1" s="1"/>
  <c r="CE20" i="1" s="1"/>
  <c r="CC36" i="1"/>
  <c r="CD36" i="1" s="1"/>
  <c r="CE36" i="1" s="1"/>
  <c r="CC57" i="1"/>
  <c r="CD57" i="1" s="1"/>
  <c r="CE57" i="1" s="1"/>
  <c r="CC60" i="1"/>
  <c r="CD60" i="1" s="1"/>
  <c r="CE60" i="1" s="1"/>
  <c r="AE30" i="1"/>
  <c r="AF30" i="1" s="1"/>
  <c r="AG30" i="1" s="1"/>
  <c r="AB30" i="1" s="1"/>
  <c r="AC30" i="1" s="1"/>
  <c r="W30" i="1" s="1"/>
  <c r="T30" i="1" s="1"/>
  <c r="AE14" i="1"/>
  <c r="AF14" i="1" s="1"/>
  <c r="AG14" i="1" s="1"/>
  <c r="AE60" i="1"/>
  <c r="AF60" i="1" s="1"/>
  <c r="AG60" i="1" s="1"/>
  <c r="AE15" i="1"/>
  <c r="AF15" i="1" s="1"/>
  <c r="AG15" i="1" s="1"/>
  <c r="AE39" i="1"/>
  <c r="AF39" i="1" s="1"/>
  <c r="AG39" i="1" s="1"/>
  <c r="AE57" i="1"/>
  <c r="AF57" i="1" s="1"/>
  <c r="AG57" i="1" s="1"/>
  <c r="AO17" i="1"/>
  <c r="AP17" i="1" s="1"/>
  <c r="AQ17" i="1" s="1"/>
  <c r="AO42" i="1"/>
  <c r="AP42" i="1" s="1"/>
  <c r="AQ42" i="1" s="1"/>
  <c r="AO25" i="1"/>
  <c r="AP25" i="1" s="1"/>
  <c r="AQ25" i="1" s="1"/>
  <c r="AO14" i="1"/>
  <c r="AP14" i="1" s="1"/>
  <c r="AQ14" i="1" s="1"/>
  <c r="AO81" i="1"/>
  <c r="AP81" i="1" s="1"/>
  <c r="AQ81" i="1" s="1"/>
  <c r="AO79" i="1"/>
  <c r="AP79" i="1" s="1"/>
  <c r="AQ79" i="1" s="1"/>
  <c r="AT22" i="1"/>
  <c r="AU22" i="1" s="1"/>
  <c r="AV22" i="1" s="1"/>
  <c r="AT37" i="1"/>
  <c r="AU37" i="1" s="1"/>
  <c r="AV37" i="1" s="1"/>
  <c r="AT58" i="1"/>
  <c r="AU58" i="1" s="1"/>
  <c r="AV58" i="1" s="1"/>
  <c r="AT47" i="1"/>
  <c r="AU47" i="1" s="1"/>
  <c r="AV47" i="1" s="1"/>
  <c r="AT54" i="1"/>
  <c r="AU54" i="1" s="1"/>
  <c r="AV54" i="1" s="1"/>
  <c r="AT82" i="1"/>
  <c r="AU82" i="1" s="1"/>
  <c r="AV82" i="1" s="1"/>
  <c r="AT34" i="1"/>
  <c r="AU34" i="1" s="1"/>
  <c r="AV34" i="1" s="1"/>
  <c r="AT43" i="1"/>
  <c r="AU43" i="1" s="1"/>
  <c r="AV43" i="1" s="1"/>
  <c r="AT25" i="1"/>
  <c r="AU25" i="1" s="1"/>
  <c r="AV25" i="1" s="1"/>
  <c r="BX34" i="1"/>
  <c r="BY34" i="1" s="1"/>
  <c r="BZ34" i="1" s="1"/>
  <c r="BX29" i="1"/>
  <c r="BY29" i="1" s="1"/>
  <c r="BZ29" i="1" s="1"/>
  <c r="BX33" i="1"/>
  <c r="BY33" i="1" s="1"/>
  <c r="BZ33" i="1" s="1"/>
  <c r="CH16" i="1"/>
  <c r="CI16" i="1" s="1"/>
  <c r="CJ16" i="1" s="1"/>
  <c r="AB16" i="1" s="1"/>
  <c r="AC16" i="1" s="1"/>
  <c r="W16" i="1" s="1"/>
  <c r="T16" i="1" s="1"/>
  <c r="CH17" i="1"/>
  <c r="CI17" i="1" s="1"/>
  <c r="CJ17" i="1" s="1"/>
  <c r="DF167" i="4"/>
  <c r="DH167" i="4" s="1"/>
  <c r="DR57" i="4"/>
  <c r="DT57" i="4" s="1"/>
  <c r="DF266" i="4"/>
  <c r="DH266" i="4" s="1"/>
  <c r="ED21" i="4"/>
  <c r="EF21" i="4" s="1"/>
  <c r="DR86" i="4"/>
  <c r="DT86" i="4" s="1"/>
  <c r="ED31" i="4"/>
  <c r="EF31" i="4" s="1"/>
  <c r="EJ68" i="4"/>
  <c r="EL68" i="4" s="1"/>
  <c r="DX90" i="4"/>
  <c r="DZ90" i="4" s="1"/>
  <c r="DF267" i="4"/>
  <c r="DH267" i="4" s="1"/>
  <c r="ED24" i="4"/>
  <c r="EF24" i="4" s="1"/>
  <c r="DX37" i="4"/>
  <c r="DZ37" i="4" s="1"/>
  <c r="DX54" i="4"/>
  <c r="DZ54" i="4" s="1"/>
  <c r="EJ38" i="4"/>
  <c r="EL38" i="4" s="1"/>
  <c r="DX32" i="4"/>
  <c r="DZ32" i="4" s="1"/>
  <c r="DF131" i="4"/>
  <c r="DH131" i="4" s="1"/>
  <c r="DF33" i="4"/>
  <c r="DH33" i="4" s="1"/>
  <c r="DF186" i="4"/>
  <c r="DH186" i="4" s="1"/>
  <c r="DX20" i="4"/>
  <c r="DZ20" i="4" s="1"/>
  <c r="DX29" i="4"/>
  <c r="DZ29" i="4" s="1"/>
  <c r="DR121" i="4"/>
  <c r="DT121" i="4" s="1"/>
  <c r="EJ95" i="4"/>
  <c r="EL95" i="4" s="1"/>
  <c r="DX69" i="4"/>
  <c r="DZ69" i="4" s="1"/>
  <c r="EJ76" i="4"/>
  <c r="EL76" i="4" s="1"/>
  <c r="EJ166" i="4"/>
  <c r="EL166" i="4" s="1"/>
  <c r="DR34" i="4"/>
  <c r="DT34" i="4" s="1"/>
  <c r="DF222" i="4"/>
  <c r="DH222" i="4" s="1"/>
  <c r="EJ85" i="4"/>
  <c r="EL85" i="4" s="1"/>
  <c r="DF149" i="4"/>
  <c r="DH149" i="4" s="1"/>
  <c r="DF69" i="4"/>
  <c r="DH69" i="4" s="1"/>
  <c r="DF112" i="4"/>
  <c r="DH112" i="4" s="1"/>
  <c r="DR103" i="4"/>
  <c r="DT103" i="4" s="1"/>
  <c r="AL9" i="5" s="1"/>
  <c r="DR73" i="4"/>
  <c r="DT73" i="4" s="1"/>
  <c r="EJ129" i="4"/>
  <c r="EL129" i="4" s="1"/>
  <c r="EJ64" i="4"/>
  <c r="EL64" i="4" s="1"/>
  <c r="DX85" i="4"/>
  <c r="DZ85" i="4" s="1"/>
  <c r="DF91" i="4"/>
  <c r="DH91" i="4" s="1"/>
  <c r="DX137" i="4"/>
  <c r="DZ137" i="4" s="1"/>
  <c r="EJ105" i="4"/>
  <c r="EL105" i="4" s="1"/>
  <c r="EJ60" i="4"/>
  <c r="EL60" i="4" s="1"/>
  <c r="DF142" i="4"/>
  <c r="DH142" i="4" s="1"/>
  <c r="EJ165" i="4"/>
  <c r="EL165" i="4" s="1"/>
  <c r="EJ134" i="4"/>
  <c r="EL134" i="4" s="1"/>
  <c r="DR36" i="4"/>
  <c r="DT36" i="4" s="1"/>
  <c r="DF108" i="4"/>
  <c r="DH108" i="4" s="1"/>
  <c r="ED35" i="4"/>
  <c r="EF35" i="4" s="1"/>
  <c r="DX41" i="4"/>
  <c r="DZ41" i="4" s="1"/>
  <c r="DF45" i="4"/>
  <c r="DH45" i="4" s="1"/>
  <c r="DF171" i="4"/>
  <c r="DH171" i="4" s="1"/>
  <c r="DR22" i="4"/>
  <c r="DT22" i="4" s="1"/>
  <c r="DX76" i="4"/>
  <c r="DZ76" i="4" s="1"/>
  <c r="DX28" i="4"/>
  <c r="DZ28" i="4" s="1"/>
  <c r="EJ155" i="4"/>
  <c r="EL155" i="4" s="1"/>
  <c r="DR81" i="4"/>
  <c r="DT81" i="4" s="1"/>
  <c r="DL12" i="4"/>
  <c r="DN12" i="4" s="1"/>
  <c r="EJ169" i="4"/>
  <c r="EL169" i="4" s="1"/>
  <c r="EJ124" i="4"/>
  <c r="EL124" i="4" s="1"/>
  <c r="EJ128" i="4"/>
  <c r="EL128" i="4" s="1"/>
  <c r="DX68" i="4"/>
  <c r="DZ68" i="4" s="1"/>
  <c r="DF21" i="4"/>
  <c r="DH21" i="4" s="1"/>
  <c r="DX71" i="4"/>
  <c r="DZ71" i="4" s="1"/>
  <c r="DR112" i="4"/>
  <c r="DT112" i="4" s="1"/>
  <c r="EJ44" i="4"/>
  <c r="EL44" i="4" s="1"/>
  <c r="DX19" i="4"/>
  <c r="DZ19" i="4" s="1"/>
  <c r="DF98" i="4"/>
  <c r="DH98" i="4" s="1"/>
  <c r="DR32" i="4"/>
  <c r="DT32" i="4" s="1"/>
  <c r="EJ45" i="4"/>
  <c r="EL45" i="4" s="1"/>
  <c r="DR87" i="4"/>
  <c r="DT87" i="4" s="1"/>
  <c r="DX34" i="4"/>
  <c r="DZ34" i="4" s="1"/>
  <c r="ED20" i="4"/>
  <c r="EF20" i="4" s="1"/>
  <c r="DF19" i="4"/>
  <c r="DH19" i="4" s="1"/>
  <c r="DR100" i="4"/>
  <c r="DT100" i="4" s="1"/>
  <c r="EJ71" i="4"/>
  <c r="EL71" i="4" s="1"/>
  <c r="DX129" i="4"/>
  <c r="DZ129" i="4" s="1"/>
  <c r="DX48" i="4"/>
  <c r="DZ48" i="4" s="1"/>
  <c r="DX125" i="4"/>
  <c r="DZ125" i="4" s="1"/>
  <c r="DF113" i="4"/>
  <c r="DH113" i="4" s="1"/>
  <c r="DR48" i="4"/>
  <c r="DT48" i="4" s="1"/>
  <c r="DR91" i="4"/>
  <c r="DT91" i="4" s="1"/>
  <c r="DF154" i="4"/>
  <c r="DX107" i="4"/>
  <c r="DZ107" i="4" s="1"/>
  <c r="DR110" i="4"/>
  <c r="DT110" i="4" s="1"/>
  <c r="DX79" i="4"/>
  <c r="DZ79" i="4" s="1"/>
  <c r="DR41" i="4"/>
  <c r="DT41" i="4" s="1"/>
  <c r="ED26" i="4"/>
  <c r="EF26" i="4" s="1"/>
  <c r="DF212" i="4"/>
  <c r="DH212" i="4" s="1"/>
  <c r="AY25" i="1"/>
  <c r="AZ25" i="1" s="1"/>
  <c r="BA25" i="1" s="1"/>
  <c r="AC37" i="5"/>
  <c r="E53" i="5"/>
  <c r="AJ34" i="5"/>
  <c r="AS34" i="5" s="1"/>
  <c r="G32" i="5"/>
  <c r="AA53" i="5"/>
  <c r="AP22" i="5"/>
  <c r="BD37" i="1"/>
  <c r="BE37" i="1" s="1"/>
  <c r="BF37" i="1" s="1"/>
  <c r="BD81" i="1"/>
  <c r="BE81" i="1" s="1"/>
  <c r="BF81" i="1" s="1"/>
  <c r="BD24" i="1"/>
  <c r="BE24" i="1" s="1"/>
  <c r="BF24" i="1" s="1"/>
  <c r="BD40" i="1"/>
  <c r="BE40" i="1" s="1"/>
  <c r="BF40" i="1" s="1"/>
  <c r="BD33" i="1"/>
  <c r="BE33" i="1" s="1"/>
  <c r="BF33" i="1" s="1"/>
  <c r="BD80" i="1"/>
  <c r="BE80" i="1" s="1"/>
  <c r="BF80" i="1" s="1"/>
  <c r="CR15" i="1"/>
  <c r="CS15" i="1" s="1"/>
  <c r="CT15" i="1" s="1"/>
  <c r="AT31" i="1"/>
  <c r="AU31" i="1" s="1"/>
  <c r="AV31" i="1" s="1"/>
  <c r="CC33" i="1"/>
  <c r="CD33" i="1" s="1"/>
  <c r="CE33" i="1" s="1"/>
  <c r="CC37" i="1"/>
  <c r="CD37" i="1" s="1"/>
  <c r="CE37" i="1" s="1"/>
  <c r="AO22" i="1"/>
  <c r="AP22" i="1" s="1"/>
  <c r="AQ22" i="1" s="1"/>
  <c r="AO54" i="1"/>
  <c r="AP54" i="1" s="1"/>
  <c r="AQ54" i="1" s="1"/>
  <c r="AO50" i="1"/>
  <c r="AP50" i="1" s="1"/>
  <c r="AQ50" i="1" s="1"/>
  <c r="AE43" i="1"/>
  <c r="AF43" i="1" s="1"/>
  <c r="AG43" i="1" s="1"/>
  <c r="AE36" i="1"/>
  <c r="AF36" i="1" s="1"/>
  <c r="AG36" i="1" s="1"/>
  <c r="BD58" i="1"/>
  <c r="BE58" i="1" s="1"/>
  <c r="BF58" i="1" s="1"/>
  <c r="AT56" i="1"/>
  <c r="AU56" i="1" s="1"/>
  <c r="AV56" i="1" s="1"/>
  <c r="AT48" i="1"/>
  <c r="AU48" i="1" s="1"/>
  <c r="AV48" i="1" s="1"/>
  <c r="AB19" i="5"/>
  <c r="AO18" i="1"/>
  <c r="AP18" i="1" s="1"/>
  <c r="AQ18" i="1" s="1"/>
  <c r="AO29" i="1"/>
  <c r="AP29" i="1" s="1"/>
  <c r="AQ29" i="1" s="1"/>
  <c r="AG40" i="5"/>
  <c r="AT53" i="1"/>
  <c r="AU53" i="1" s="1"/>
  <c r="AV53" i="1" s="1"/>
  <c r="AE51" i="1"/>
  <c r="AF51" i="1" s="1"/>
  <c r="AG51" i="1" s="1"/>
  <c r="AH34" i="5"/>
  <c r="DX64" i="4"/>
  <c r="DZ64" i="4" s="1"/>
  <c r="AY47" i="1"/>
  <c r="AZ47" i="1" s="1"/>
  <c r="BA47" i="1" s="1"/>
  <c r="AB47" i="1" s="1"/>
  <c r="AC47" i="1" s="1"/>
  <c r="W47" i="1" s="1"/>
  <c r="T47" i="1" s="1"/>
  <c r="T19" i="5"/>
  <c r="M38" i="5"/>
  <c r="D38" i="5" s="1"/>
  <c r="AA23" i="5"/>
  <c r="AJ10" i="5"/>
  <c r="AS10" i="5" s="1"/>
  <c r="AV38" i="5"/>
  <c r="AU38" i="5" s="1"/>
  <c r="L38" i="5"/>
  <c r="C38" i="5" s="1"/>
  <c r="AB22" i="5"/>
  <c r="R32" i="5"/>
  <c r="Y31" i="5"/>
  <c r="AJ53" i="5"/>
  <c r="AS53" i="5" s="1"/>
  <c r="AP46" i="5"/>
  <c r="AH16" i="5"/>
  <c r="T31" i="5"/>
  <c r="AG19" i="5"/>
  <c r="S29" i="5"/>
  <c r="AC29" i="5"/>
  <c r="T50" i="5"/>
  <c r="S17" i="5"/>
  <c r="Y19" i="5"/>
  <c r="AJ21" i="5"/>
  <c r="AS21" i="5" s="1"/>
  <c r="AJ105" i="5"/>
  <c r="AS105" i="5" s="1"/>
  <c r="DF38" i="4"/>
  <c r="DF296" i="4"/>
  <c r="DH296" i="4" s="1"/>
  <c r="AP23" i="5"/>
  <c r="T28" i="5"/>
  <c r="AP38" i="5"/>
  <c r="AC52" i="5"/>
  <c r="AN31" i="5"/>
  <c r="AJ28" i="5"/>
  <c r="AS28" i="5" s="1"/>
  <c r="CC53" i="1"/>
  <c r="CD53" i="1" s="1"/>
  <c r="CE53" i="1" s="1"/>
  <c r="AP49" i="5"/>
  <c r="BX22" i="1"/>
  <c r="BY22" i="1" s="1"/>
  <c r="BZ22" i="1" s="1"/>
  <c r="CH25" i="1"/>
  <c r="CI25" i="1" s="1"/>
  <c r="CJ25" i="1" s="1"/>
  <c r="T13" i="5"/>
  <c r="L26" i="5"/>
  <c r="C26" i="5" s="1"/>
  <c r="S44" i="5"/>
  <c r="R44" i="5"/>
  <c r="T40" i="5"/>
  <c r="AC40" i="5"/>
  <c r="S41" i="5"/>
  <c r="AA41" i="5"/>
  <c r="AH46" i="5"/>
  <c r="Y46" i="5"/>
  <c r="AP40" i="5"/>
  <c r="AA40" i="5"/>
  <c r="CC58" i="1"/>
  <c r="CD58" i="1" s="1"/>
  <c r="CE58" i="1" s="1"/>
  <c r="CC14" i="1"/>
  <c r="CD14" i="1" s="1"/>
  <c r="CE14" i="1" s="1"/>
  <c r="CC59" i="1"/>
  <c r="CD59" i="1" s="1"/>
  <c r="CE59" i="1" s="1"/>
  <c r="AB59" i="1" s="1"/>
  <c r="AC59" i="1" s="1"/>
  <c r="W59" i="1" s="1"/>
  <c r="T59" i="1" s="1"/>
  <c r="CC25" i="1"/>
  <c r="CD25" i="1" s="1"/>
  <c r="CE25" i="1" s="1"/>
  <c r="AE50" i="1"/>
  <c r="AF50" i="1" s="1"/>
  <c r="AG50" i="1" s="1"/>
  <c r="AB50" i="1" s="1"/>
  <c r="AC50" i="1" s="1"/>
  <c r="W50" i="1" s="1"/>
  <c r="T50" i="1" s="1"/>
  <c r="AE24" i="1"/>
  <c r="AF24" i="1" s="1"/>
  <c r="AG24" i="1" s="1"/>
  <c r="AE47" i="1"/>
  <c r="AF47" i="1" s="1"/>
  <c r="AG47" i="1" s="1"/>
  <c r="AE12" i="1"/>
  <c r="AF12" i="1" s="1"/>
  <c r="AG12" i="1" s="1"/>
  <c r="AB12" i="1" s="1"/>
  <c r="AC12" i="1" s="1"/>
  <c r="W12" i="1" s="1"/>
  <c r="T12" i="1" s="1"/>
  <c r="AE33" i="1"/>
  <c r="AF33" i="1" s="1"/>
  <c r="AG33" i="1" s="1"/>
  <c r="AB33" i="1" s="1"/>
  <c r="AC33" i="1" s="1"/>
  <c r="W33" i="1" s="1"/>
  <c r="T33" i="1" s="1"/>
  <c r="AE67" i="1"/>
  <c r="AF67" i="1" s="1"/>
  <c r="AG67" i="1" s="1"/>
  <c r="AE53" i="1"/>
  <c r="AF53" i="1" s="1"/>
  <c r="AG53" i="1" s="1"/>
  <c r="AT57" i="1"/>
  <c r="AU57" i="1" s="1"/>
  <c r="AV57" i="1" s="1"/>
  <c r="AB57" i="1" s="1"/>
  <c r="AC57" i="1" s="1"/>
  <c r="W57" i="1" s="1"/>
  <c r="T57" i="1" s="1"/>
  <c r="AT21" i="1"/>
  <c r="AU21" i="1" s="1"/>
  <c r="AV21" i="1" s="1"/>
  <c r="AT35" i="1"/>
  <c r="AU35" i="1" s="1"/>
  <c r="AV35" i="1" s="1"/>
  <c r="AT52" i="1"/>
  <c r="AU52" i="1" s="1"/>
  <c r="AV52" i="1" s="1"/>
  <c r="AB52" i="1" s="1"/>
  <c r="AC52" i="1" s="1"/>
  <c r="W52" i="1" s="1"/>
  <c r="T52" i="1" s="1"/>
  <c r="AO38" i="1"/>
  <c r="AP38" i="1" s="1"/>
  <c r="AQ38" i="1" s="1"/>
  <c r="AO41" i="1"/>
  <c r="AP41" i="1" s="1"/>
  <c r="AQ41" i="1" s="1"/>
  <c r="AB41" i="1" s="1"/>
  <c r="AC41" i="1" s="1"/>
  <c r="W41" i="1" s="1"/>
  <c r="T41" i="1" s="1"/>
  <c r="AO55" i="1"/>
  <c r="AP55" i="1" s="1"/>
  <c r="AQ55" i="1" s="1"/>
  <c r="AB55" i="1" s="1"/>
  <c r="AC55" i="1" s="1"/>
  <c r="W55" i="1" s="1"/>
  <c r="T55" i="1" s="1"/>
  <c r="AO37" i="1"/>
  <c r="AP37" i="1" s="1"/>
  <c r="AQ37" i="1" s="1"/>
  <c r="AO43" i="1"/>
  <c r="AP43" i="1" s="1"/>
  <c r="AQ43" i="1" s="1"/>
  <c r="AJ29" i="5"/>
  <c r="AS29" i="5" s="1"/>
  <c r="AA17" i="5"/>
  <c r="S37" i="5"/>
  <c r="CC29" i="1"/>
  <c r="CD29" i="1" s="1"/>
  <c r="CE29" i="1" s="1"/>
  <c r="CC43" i="1"/>
  <c r="CD43" i="1" s="1"/>
  <c r="CE43" i="1" s="1"/>
  <c r="AJ40" i="5"/>
  <c r="AS40" i="5" s="1"/>
  <c r="AG22" i="5"/>
  <c r="CC34" i="1"/>
  <c r="CD34" i="1" s="1"/>
  <c r="CE34" i="1" s="1"/>
  <c r="U34" i="5"/>
  <c r="CC42" i="1"/>
  <c r="CD42" i="1" s="1"/>
  <c r="CE42" i="1" s="1"/>
  <c r="AB42" i="1" s="1"/>
  <c r="AC42" i="1" s="1"/>
  <c r="W42" i="1" s="1"/>
  <c r="T42" i="1" s="1"/>
  <c r="DX144" i="4"/>
  <c r="DZ144" i="4" s="1"/>
  <c r="AA47" i="5"/>
  <c r="AJ47" i="5"/>
  <c r="AS47" i="5" s="1"/>
  <c r="AB31" i="5"/>
  <c r="R31" i="5"/>
  <c r="G23" i="5"/>
  <c r="E23" i="5"/>
  <c r="DR38" i="4"/>
  <c r="DT38" i="4" s="1"/>
  <c r="DF295" i="4"/>
  <c r="DH295" i="4" s="1"/>
  <c r="EJ172" i="4"/>
  <c r="EL172" i="4" s="1"/>
  <c r="DX35" i="4"/>
  <c r="DZ35" i="4" s="1"/>
  <c r="DR33" i="4"/>
  <c r="DT33" i="4" s="1"/>
  <c r="DF55" i="4"/>
  <c r="DR55" i="4"/>
  <c r="DT55" i="4" s="1"/>
  <c r="DF54" i="4"/>
  <c r="AJ85" i="5"/>
  <c r="AS85" i="5" s="1"/>
  <c r="AJ104" i="5"/>
  <c r="AS104" i="5" s="1"/>
  <c r="AJ18" i="5"/>
  <c r="AS18" i="5" s="1"/>
  <c r="AJ99" i="5"/>
  <c r="AS99" i="5" s="1"/>
  <c r="AJ89" i="5"/>
  <c r="AS89" i="5" s="1"/>
  <c r="AJ64" i="5"/>
  <c r="AS64" i="5" s="1"/>
  <c r="AJ62" i="5"/>
  <c r="AS62" i="5" s="1"/>
  <c r="AJ15" i="5"/>
  <c r="AS15" i="5" s="1"/>
  <c r="DX42" i="4"/>
  <c r="DZ42" i="4" s="1"/>
  <c r="EJ111" i="4"/>
  <c r="EL111" i="4" s="1"/>
  <c r="ED15" i="4"/>
  <c r="EF15" i="4" s="1"/>
  <c r="DF273" i="4"/>
  <c r="DH273" i="4" s="1"/>
  <c r="DF127" i="4"/>
  <c r="DH127" i="4" s="1"/>
  <c r="DF125" i="4"/>
  <c r="DH125" i="4" s="1"/>
  <c r="DX105" i="4"/>
  <c r="DZ105" i="4" s="1"/>
  <c r="ED17" i="4"/>
  <c r="EF17" i="4" s="1"/>
  <c r="DF192" i="4"/>
  <c r="DH192" i="4" s="1"/>
  <c r="AJ112" i="5"/>
  <c r="AS112" i="5" s="1"/>
  <c r="DF196" i="4"/>
  <c r="DH196" i="4" s="1"/>
  <c r="AJ58" i="5"/>
  <c r="AS58" i="5" s="1"/>
  <c r="EJ174" i="4"/>
  <c r="EL174" i="4" s="1"/>
  <c r="EJ24" i="4"/>
  <c r="EL24" i="4" s="1"/>
  <c r="DR71" i="4"/>
  <c r="DT71" i="4" s="1"/>
  <c r="EJ168" i="4"/>
  <c r="EL168" i="4" s="1"/>
  <c r="DR59" i="4"/>
  <c r="DT59" i="4" s="1"/>
  <c r="DF94" i="4"/>
  <c r="DH94" i="4" s="1"/>
  <c r="DF22" i="4"/>
  <c r="DH22" i="4" s="1"/>
  <c r="DF100" i="4"/>
  <c r="DH100" i="4" s="1"/>
  <c r="DF190" i="4"/>
  <c r="DH190" i="4" s="1"/>
  <c r="EJ118" i="4"/>
  <c r="EL118" i="4" s="1"/>
  <c r="EJ12" i="4"/>
  <c r="EL12" i="4" s="1"/>
  <c r="DR116" i="4"/>
  <c r="DT116" i="4" s="1"/>
  <c r="DF132" i="4"/>
  <c r="DH132" i="4" s="1"/>
  <c r="EJ100" i="4"/>
  <c r="EL100" i="4" s="1"/>
  <c r="DX16" i="4"/>
  <c r="DZ16" i="4" s="1"/>
  <c r="DX97" i="4"/>
  <c r="DZ97" i="4" s="1"/>
  <c r="DX51" i="4"/>
  <c r="DZ51" i="4" s="1"/>
  <c r="AO19" i="1"/>
  <c r="AP19" i="1" s="1"/>
  <c r="AQ19" i="1" s="1"/>
  <c r="AB19" i="1" s="1"/>
  <c r="AC19" i="1" s="1"/>
  <c r="W19" i="1" s="1"/>
  <c r="T19" i="1" s="1"/>
  <c r="T14" i="5"/>
  <c r="T23" i="5"/>
  <c r="AC19" i="5"/>
  <c r="AB10" i="5"/>
  <c r="AB73" i="1"/>
  <c r="AC73" i="1" s="1"/>
  <c r="W73" i="1" s="1"/>
  <c r="T73" i="1" s="1"/>
  <c r="N17" i="5"/>
  <c r="F17" i="5" s="1"/>
  <c r="O17" i="5" s="1"/>
  <c r="H17" i="5" s="1"/>
  <c r="AC26" i="5"/>
  <c r="X28" i="5"/>
  <c r="AC47" i="5"/>
  <c r="AB82" i="1"/>
  <c r="AC82" i="1" s="1"/>
  <c r="W82" i="1" s="1"/>
  <c r="T82" i="1" s="1"/>
  <c r="M17" i="5"/>
  <c r="D17" i="5" s="1"/>
  <c r="AB76" i="1"/>
  <c r="AC76" i="1" s="1"/>
  <c r="W76" i="1" s="1"/>
  <c r="T76" i="1" s="1"/>
  <c r="E10" i="5"/>
  <c r="G10" i="5"/>
  <c r="J8" i="5"/>
  <c r="G8" i="5" s="1"/>
  <c r="G41" i="5"/>
  <c r="M41" i="5" s="1"/>
  <c r="D41" i="5" s="1"/>
  <c r="E41" i="5"/>
  <c r="T44" i="5"/>
  <c r="AC44" i="5"/>
  <c r="G35" i="5"/>
  <c r="AV35" i="5" s="1"/>
  <c r="AU35" i="5" s="1"/>
  <c r="E35" i="5"/>
  <c r="AC38" i="5"/>
  <c r="T38" i="5"/>
  <c r="G29" i="5"/>
  <c r="AV29" i="5" s="1"/>
  <c r="AU29" i="5" s="1"/>
  <c r="E29" i="5"/>
  <c r="AB60" i="1"/>
  <c r="AC60" i="1" s="1"/>
  <c r="W60" i="1" s="1"/>
  <c r="T60" i="1" s="1"/>
  <c r="AJ44" i="5"/>
  <c r="AS44" i="5" s="1"/>
  <c r="M44" i="5"/>
  <c r="D44" i="5" s="1"/>
  <c r="AV26" i="5"/>
  <c r="AU26" i="5" s="1"/>
  <c r="AA10" i="5"/>
  <c r="AP53" i="5"/>
  <c r="BS11" i="1"/>
  <c r="BT11" i="1" s="1"/>
  <c r="BU11" i="1" s="1"/>
  <c r="AN22" i="5"/>
  <c r="M26" i="5"/>
  <c r="D26" i="5" s="1"/>
  <c r="R10" i="5"/>
  <c r="AJ23" i="5"/>
  <c r="AS23" i="5" s="1"/>
  <c r="AB32" i="1"/>
  <c r="AC32" i="1" s="1"/>
  <c r="W32" i="1" s="1"/>
  <c r="T32" i="1" s="1"/>
  <c r="AC14" i="5"/>
  <c r="AB58" i="1"/>
  <c r="AC58" i="1" s="1"/>
  <c r="W58" i="1" s="1"/>
  <c r="T58" i="1" s="1"/>
  <c r="AB81" i="1"/>
  <c r="AC81" i="1" s="1"/>
  <c r="W81" i="1" s="1"/>
  <c r="T81" i="1" s="1"/>
  <c r="AB77" i="1"/>
  <c r="AC77" i="1" s="1"/>
  <c r="W77" i="1" s="1"/>
  <c r="T77" i="1" s="1"/>
  <c r="N32" i="5"/>
  <c r="F32" i="5" s="1"/>
  <c r="O32" i="5" s="1"/>
  <c r="H32" i="5" s="1"/>
  <c r="AA22" i="5"/>
  <c r="W84" i="1"/>
  <c r="T84" i="1" s="1"/>
  <c r="T53" i="5"/>
  <c r="AB61" i="1"/>
  <c r="AC61" i="1" s="1"/>
  <c r="W61" i="1" s="1"/>
  <c r="T61" i="1" s="1"/>
  <c r="AB51" i="1"/>
  <c r="AC51" i="1" s="1"/>
  <c r="W51" i="1" s="1"/>
  <c r="T51" i="1" s="1"/>
  <c r="AC17" i="5"/>
  <c r="T17" i="5"/>
  <c r="AB14" i="1"/>
  <c r="AC14" i="1" s="1"/>
  <c r="W14" i="1" s="1"/>
  <c r="T14" i="1" s="1"/>
  <c r="AB20" i="1"/>
  <c r="AC20" i="1" s="1"/>
  <c r="W20" i="1" s="1"/>
  <c r="T20" i="1" s="1"/>
  <c r="L47" i="5"/>
  <c r="C47" i="5" s="1"/>
  <c r="M47" i="5"/>
  <c r="D47" i="5" s="1"/>
  <c r="N47" i="5"/>
  <c r="F47" i="5" s="1"/>
  <c r="O47" i="5" s="1"/>
  <c r="H47" i="5" s="1"/>
  <c r="AV47" i="5"/>
  <c r="AU47" i="5" s="1"/>
  <c r="AB37" i="1"/>
  <c r="AC37" i="1" s="1"/>
  <c r="W37" i="1" s="1"/>
  <c r="T37" i="1" s="1"/>
  <c r="AB56" i="1"/>
  <c r="AC56" i="1" s="1"/>
  <c r="AB38" i="1"/>
  <c r="AC38" i="1" s="1"/>
  <c r="W38" i="1" s="1"/>
  <c r="T38" i="1" s="1"/>
  <c r="AB79" i="1"/>
  <c r="AC79" i="1" s="1"/>
  <c r="W79" i="1" s="1"/>
  <c r="T79" i="1" s="1"/>
  <c r="AB80" i="1"/>
  <c r="AC80" i="1" s="1"/>
  <c r="W80" i="1" s="1"/>
  <c r="T80" i="1" s="1"/>
  <c r="AB13" i="1"/>
  <c r="AC13" i="1" s="1"/>
  <c r="W13" i="1" s="1"/>
  <c r="T13" i="1" s="1"/>
  <c r="AB39" i="1"/>
  <c r="AC39" i="1" s="1"/>
  <c r="W39" i="1" s="1"/>
  <c r="T39" i="1" s="1"/>
  <c r="AB43" i="1"/>
  <c r="AC43" i="1" s="1"/>
  <c r="W43" i="1" s="1"/>
  <c r="T43" i="1" s="1"/>
  <c r="AB35" i="1"/>
  <c r="AC35" i="1" s="1"/>
  <c r="W35" i="1" s="1"/>
  <c r="T35" i="1" s="1"/>
  <c r="AB75" i="1"/>
  <c r="AC75" i="1" s="1"/>
  <c r="W75" i="1" s="1"/>
  <c r="T75" i="1" s="1"/>
  <c r="AB18" i="1"/>
  <c r="AC18" i="1" s="1"/>
  <c r="W18" i="1" s="1"/>
  <c r="T18" i="1" s="1"/>
  <c r="M32" i="5"/>
  <c r="D32" i="5" s="1"/>
  <c r="E50" i="5"/>
  <c r="G50" i="5"/>
  <c r="E25" i="5"/>
  <c r="G25" i="5"/>
  <c r="AB74" i="1"/>
  <c r="AC74" i="1" s="1"/>
  <c r="W74" i="1" s="1"/>
  <c r="T74" i="1" s="1"/>
  <c r="M20" i="5"/>
  <c r="D20" i="5" s="1"/>
  <c r="L20" i="5"/>
  <c r="C20" i="5" s="1"/>
  <c r="AV20" i="5"/>
  <c r="AU20" i="5" s="1"/>
  <c r="T29" i="5"/>
  <c r="DH54" i="4"/>
  <c r="W85" i="1"/>
  <c r="T85" i="1" s="1"/>
  <c r="AC22" i="5"/>
  <c r="CH11" i="1"/>
  <c r="CI11" i="1" s="1"/>
  <c r="CJ11" i="1" s="1"/>
  <c r="AO31" i="1"/>
  <c r="AP31" i="1" s="1"/>
  <c r="AQ31" i="1" s="1"/>
  <c r="AB31" i="1" s="1"/>
  <c r="AC31" i="1" s="1"/>
  <c r="W31" i="1" s="1"/>
  <c r="T31" i="1" s="1"/>
  <c r="T10" i="5"/>
  <c r="W87" i="1"/>
  <c r="T87" i="1" s="1"/>
  <c r="W91" i="1"/>
  <c r="T91" i="1" s="1"/>
  <c r="AC10" i="5"/>
  <c r="DH57" i="4"/>
  <c r="DH37" i="4"/>
  <c r="DH155" i="4"/>
  <c r="DH47" i="4"/>
  <c r="DH62" i="4"/>
  <c r="DH61" i="4"/>
  <c r="DH38" i="4"/>
  <c r="DH52" i="4"/>
  <c r="DH154" i="4"/>
  <c r="DH50" i="4"/>
  <c r="DH39" i="4"/>
  <c r="DH59" i="4"/>
  <c r="DH156" i="4"/>
  <c r="DH60" i="4"/>
  <c r="DH56" i="4"/>
  <c r="DH157" i="4"/>
  <c r="DH44" i="4"/>
  <c r="DH46" i="4"/>
  <c r="DH40" i="4"/>
  <c r="DH53" i="4"/>
  <c r="DH43" i="4"/>
  <c r="DH55" i="4"/>
  <c r="DH51" i="4"/>
  <c r="W86" i="1"/>
  <c r="T86" i="1" s="1"/>
  <c r="W92" i="1"/>
  <c r="T92" i="1" s="1"/>
  <c r="W56" i="1"/>
  <c r="T56" i="1" s="1"/>
  <c r="W88" i="1"/>
  <c r="T88" i="1" s="1"/>
  <c r="AB66" i="1"/>
  <c r="AC66" i="1" s="1"/>
  <c r="W66" i="1" s="1"/>
  <c r="T66" i="1" s="1"/>
  <c r="AB68" i="1"/>
  <c r="AC68" i="1" s="1"/>
  <c r="W68" i="1" s="1"/>
  <c r="T68" i="1" s="1"/>
  <c r="AB78" i="1"/>
  <c r="AC78" i="1" s="1"/>
  <c r="W78" i="1" s="1"/>
  <c r="T78" i="1" s="1"/>
  <c r="AB36" i="1"/>
  <c r="AC36" i="1" s="1"/>
  <c r="W36" i="1" s="1"/>
  <c r="T36" i="1" s="1"/>
  <c r="AB21" i="1"/>
  <c r="AC21" i="1" s="1"/>
  <c r="W21" i="1" s="1"/>
  <c r="T21" i="1" s="1"/>
  <c r="AB67" i="1"/>
  <c r="AC67" i="1" s="1"/>
  <c r="W67" i="1" s="1"/>
  <c r="T67" i="1" s="1"/>
  <c r="AB65" i="1"/>
  <c r="AC65" i="1" s="1"/>
  <c r="W65" i="1" s="1"/>
  <c r="T65" i="1" s="1"/>
  <c r="AB23" i="1"/>
  <c r="AC23" i="1" s="1"/>
  <c r="W23" i="1" s="1"/>
  <c r="T23" i="1" s="1"/>
  <c r="AB48" i="1"/>
  <c r="AC48" i="1" s="1"/>
  <c r="W48" i="1" s="1"/>
  <c r="T48" i="1" s="1"/>
  <c r="AB49" i="1"/>
  <c r="AC49" i="1" s="1"/>
  <c r="W49" i="1" s="1"/>
  <c r="T49" i="1" s="1"/>
  <c r="AB25" i="1"/>
  <c r="AC25" i="1" s="1"/>
  <c r="W25" i="1" s="1"/>
  <c r="T25" i="1" s="1"/>
  <c r="AB54" i="1"/>
  <c r="AC54" i="1" s="1"/>
  <c r="W54" i="1" s="1"/>
  <c r="T54" i="1" s="1"/>
  <c r="AB40" i="1"/>
  <c r="AC40" i="1" s="1"/>
  <c r="W40" i="1" s="1"/>
  <c r="T40" i="1" s="1"/>
  <c r="AB15" i="1"/>
  <c r="AC15" i="1" s="1"/>
  <c r="W15" i="1" s="1"/>
  <c r="T15" i="1" s="1"/>
  <c r="M35" i="5"/>
  <c r="D35" i="5" s="1"/>
  <c r="M112" i="5"/>
  <c r="D112" i="5" s="1"/>
  <c r="N112" i="5"/>
  <c r="F112" i="5" s="1"/>
  <c r="O112" i="5" s="1"/>
  <c r="H112" i="5" s="1"/>
  <c r="T32" i="5"/>
  <c r="L27" i="5"/>
  <c r="C27" i="5" s="1"/>
  <c r="N34" i="5"/>
  <c r="F34" i="5" s="1"/>
  <c r="O34" i="5" s="1"/>
  <c r="H34" i="5" s="1"/>
  <c r="AV34" i="5"/>
  <c r="AU34" i="5" s="1"/>
  <c r="N80" i="5"/>
  <c r="F80" i="5" s="1"/>
  <c r="O80" i="5" s="1"/>
  <c r="H80" i="5" s="1"/>
  <c r="L35" i="5"/>
  <c r="C35" i="5" s="1"/>
  <c r="L34" i="5"/>
  <c r="C34" i="5" s="1"/>
  <c r="L44" i="5"/>
  <c r="C44" i="5" s="1"/>
  <c r="AV40" i="5"/>
  <c r="AU40" i="5" s="1"/>
  <c r="AV27" i="5"/>
  <c r="AU27" i="5" s="1"/>
  <c r="AV44" i="5"/>
  <c r="AU44" i="5" s="1"/>
  <c r="AC11" i="5"/>
  <c r="E46" i="5"/>
  <c r="G46" i="5"/>
  <c r="AV17" i="5"/>
  <c r="AU17" i="5" s="1"/>
  <c r="AV66" i="5"/>
  <c r="AU66" i="5" s="1"/>
  <c r="M66" i="5"/>
  <c r="D66" i="5" s="1"/>
  <c r="N66" i="5"/>
  <c r="F66" i="5" s="1"/>
  <c r="O66" i="5" s="1"/>
  <c r="H66" i="5" s="1"/>
  <c r="L96" i="5"/>
  <c r="C96" i="5" s="1"/>
  <c r="AV96" i="5"/>
  <c r="AU96" i="5" s="1"/>
  <c r="M96" i="5"/>
  <c r="D96" i="5" s="1"/>
  <c r="L51" i="5"/>
  <c r="C51" i="5" s="1"/>
  <c r="M51" i="5"/>
  <c r="D51" i="5" s="1"/>
  <c r="AV51" i="5"/>
  <c r="AU51" i="5" s="1"/>
  <c r="N51" i="5"/>
  <c r="F51" i="5" s="1"/>
  <c r="O51" i="5" s="1"/>
  <c r="H51" i="5" s="1"/>
  <c r="L37" i="5"/>
  <c r="C37" i="5" s="1"/>
  <c r="M37" i="5"/>
  <c r="D37" i="5" s="1"/>
  <c r="AV37" i="5"/>
  <c r="AU37" i="5" s="1"/>
  <c r="U50" i="5"/>
  <c r="AD50" i="5"/>
  <c r="AV68" i="5"/>
  <c r="AU68" i="5" s="1"/>
  <c r="L73" i="5"/>
  <c r="C73" i="5" s="1"/>
  <c r="N73" i="5"/>
  <c r="F73" i="5" s="1"/>
  <c r="O73" i="5" s="1"/>
  <c r="H73" i="5" s="1"/>
  <c r="AV73" i="5"/>
  <c r="AU73" i="5" s="1"/>
  <c r="N69" i="5"/>
  <c r="F69" i="5" s="1"/>
  <c r="O69" i="5" s="1"/>
  <c r="H69" i="5" s="1"/>
  <c r="M69" i="5"/>
  <c r="D69" i="5" s="1"/>
  <c r="AV69" i="5"/>
  <c r="AU69" i="5" s="1"/>
  <c r="M91" i="5"/>
  <c r="D91" i="5" s="1"/>
  <c r="N91" i="5"/>
  <c r="F91" i="5" s="1"/>
  <c r="O91" i="5" s="1"/>
  <c r="H91" i="5" s="1"/>
  <c r="M108" i="5"/>
  <c r="D108" i="5" s="1"/>
  <c r="N108" i="5"/>
  <c r="F108" i="5" s="1"/>
  <c r="O108" i="5" s="1"/>
  <c r="H108" i="5" s="1"/>
  <c r="N107" i="5"/>
  <c r="F107" i="5" s="1"/>
  <c r="O107" i="5" s="1"/>
  <c r="H107" i="5" s="1"/>
  <c r="L107" i="5"/>
  <c r="C107" i="5" s="1"/>
  <c r="AV106" i="5"/>
  <c r="AU106" i="5" s="1"/>
  <c r="N106" i="5"/>
  <c r="F106" i="5" s="1"/>
  <c r="O106" i="5" s="1"/>
  <c r="H106" i="5" s="1"/>
  <c r="AD20" i="5"/>
  <c r="U20" i="5"/>
  <c r="N74" i="5"/>
  <c r="F74" i="5" s="1"/>
  <c r="O74" i="5" s="1"/>
  <c r="H74" i="5" s="1"/>
  <c r="AV74" i="5"/>
  <c r="AU74" i="5" s="1"/>
  <c r="AE93" i="1"/>
  <c r="AF93" i="1" s="1"/>
  <c r="AG93" i="1" s="1"/>
  <c r="AB93" i="1" s="1"/>
  <c r="AC93" i="1" s="1"/>
  <c r="W93" i="1" s="1"/>
  <c r="T93" i="1" s="1"/>
  <c r="AF90" i="1"/>
  <c r="AG90" i="1" s="1"/>
  <c r="AB90" i="1" s="1"/>
  <c r="AC90" i="1" s="1"/>
  <c r="W90" i="1" s="1"/>
  <c r="T90" i="1" s="1"/>
  <c r="L101" i="5"/>
  <c r="C101" i="5" s="1"/>
  <c r="M101" i="5"/>
  <c r="D101" i="5" s="1"/>
  <c r="AT69" i="1"/>
  <c r="AU69" i="1"/>
  <c r="AV69" i="1" s="1"/>
  <c r="AB69" i="1" s="1"/>
  <c r="AC69" i="1" s="1"/>
  <c r="W69" i="1" s="1"/>
  <c r="T69" i="1" s="1"/>
  <c r="L102" i="5"/>
  <c r="C102" i="5" s="1"/>
  <c r="N102" i="5"/>
  <c r="F102" i="5" s="1"/>
  <c r="O102" i="5" s="1"/>
  <c r="H102" i="5" s="1"/>
  <c r="U46" i="5"/>
  <c r="E48" i="5"/>
  <c r="H8" i="5" l="1"/>
  <c r="F8" i="5" s="1"/>
  <c r="AB53" i="1"/>
  <c r="AC53" i="1" s="1"/>
  <c r="W53" i="1" s="1"/>
  <c r="T53" i="1" s="1"/>
  <c r="AB24" i="1"/>
  <c r="AC24" i="1" s="1"/>
  <c r="W24" i="1" s="1"/>
  <c r="T24" i="1" s="1"/>
  <c r="AB22" i="1"/>
  <c r="AC22" i="1" s="1"/>
  <c r="W22" i="1" s="1"/>
  <c r="T22" i="1" s="1"/>
  <c r="AB17" i="1"/>
  <c r="AC17" i="1" s="1"/>
  <c r="W17" i="1" s="1"/>
  <c r="T17" i="1" s="1"/>
  <c r="AB29" i="1"/>
  <c r="AC29" i="1" s="1"/>
  <c r="W29" i="1" s="1"/>
  <c r="T29" i="1" s="1"/>
  <c r="M11" i="5"/>
  <c r="D11" i="5" s="1"/>
  <c r="AV11" i="5"/>
  <c r="AU11" i="5" s="1"/>
  <c r="L11" i="5"/>
  <c r="C11" i="5" s="1"/>
  <c r="N11" i="5"/>
  <c r="F11" i="5" s="1"/>
  <c r="O11" i="5" s="1"/>
  <c r="H11" i="5" s="1"/>
  <c r="AB34" i="1"/>
  <c r="AC34" i="1" s="1"/>
  <c r="W34" i="1" s="1"/>
  <c r="T34" i="1" s="1"/>
  <c r="AV32" i="5"/>
  <c r="AU32" i="5" s="1"/>
  <c r="L32" i="5"/>
  <c r="C32" i="5" s="1"/>
  <c r="N35" i="5"/>
  <c r="F35" i="5" s="1"/>
  <c r="O35" i="5" s="1"/>
  <c r="H35" i="5" s="1"/>
  <c r="N29" i="5"/>
  <c r="F29" i="5" s="1"/>
  <c r="O29" i="5" s="1"/>
  <c r="H29" i="5" s="1"/>
  <c r="AV41" i="5"/>
  <c r="AU41" i="5" s="1"/>
  <c r="M23" i="5"/>
  <c r="D23" i="5" s="1"/>
  <c r="AV23" i="5"/>
  <c r="AU23" i="5" s="1"/>
  <c r="L23" i="5"/>
  <c r="C23" i="5" s="1"/>
  <c r="N23" i="5"/>
  <c r="F23" i="5" s="1"/>
  <c r="O23" i="5" s="1"/>
  <c r="H23" i="5" s="1"/>
  <c r="M29" i="5"/>
  <c r="D29" i="5" s="1"/>
  <c r="L29" i="5"/>
  <c r="C29" i="5" s="1"/>
  <c r="N41" i="5"/>
  <c r="F41" i="5" s="1"/>
  <c r="O41" i="5" s="1"/>
  <c r="H41" i="5" s="1"/>
  <c r="L41" i="5"/>
  <c r="C41" i="5" s="1"/>
  <c r="L10" i="5"/>
  <c r="C10" i="5" s="1"/>
  <c r="AV10" i="5"/>
  <c r="AU10" i="5" s="1"/>
  <c r="N10" i="5"/>
  <c r="F10" i="5" s="1"/>
  <c r="O10" i="5" s="1"/>
  <c r="H10" i="5" s="1"/>
  <c r="M10" i="5"/>
  <c r="D10" i="5" s="1"/>
  <c r="AB11" i="1"/>
  <c r="AC11" i="1" s="1"/>
  <c r="W11" i="1" s="1"/>
  <c r="N25" i="5"/>
  <c r="F25" i="5" s="1"/>
  <c r="O25" i="5" s="1"/>
  <c r="H25" i="5" s="1"/>
  <c r="AV25" i="5"/>
  <c r="AU25" i="5" s="1"/>
  <c r="M25" i="5"/>
  <c r="D25" i="5" s="1"/>
  <c r="L25" i="5"/>
  <c r="C25" i="5" s="1"/>
  <c r="AV50" i="5"/>
  <c r="AU50" i="5" s="1"/>
  <c r="L50" i="5"/>
  <c r="C50" i="5" s="1"/>
  <c r="N50" i="5"/>
  <c r="F50" i="5" s="1"/>
  <c r="O50" i="5" s="1"/>
  <c r="H50" i="5" s="1"/>
  <c r="M50" i="5"/>
  <c r="D50" i="5" s="1"/>
  <c r="N46" i="5"/>
  <c r="F46" i="5" s="1"/>
  <c r="O46" i="5" s="1"/>
  <c r="H46" i="5" s="1"/>
  <c r="L46" i="5"/>
  <c r="C46" i="5" s="1"/>
  <c r="M46" i="5"/>
  <c r="D46" i="5" s="1"/>
  <c r="AV46" i="5"/>
  <c r="AU46" i="5" s="1"/>
  <c r="H114" i="5" l="1"/>
  <c r="X95" i="1"/>
  <c r="T6" i="1" s="1"/>
  <c r="T11" i="1"/>
  <c r="AU114" i="5"/>
  <c r="T4" i="1" s="1"/>
  <c r="T2" i="1" l="1"/>
</calcChain>
</file>

<file path=xl/comments1.xml><?xml version="1.0" encoding="utf-8"?>
<comments xmlns="http://schemas.openxmlformats.org/spreadsheetml/2006/main">
  <authors>
    <author>Слюнков А.И.</author>
  </authors>
  <commentList>
    <comment ref="F64" authorId="0" shapeId="0">
      <text>
        <r>
          <rPr>
            <b/>
            <sz val="8"/>
            <color indexed="81"/>
            <rFont val="Tahoma"/>
            <family val="2"/>
            <charset val="204"/>
          </rPr>
          <t>наружные размеры фрамуги</t>
        </r>
        <r>
          <rPr>
            <b/>
            <sz val="8"/>
            <color indexed="81"/>
            <rFont val="Tahoma"/>
            <family val="2"/>
            <charset val="204"/>
          </rPr>
          <t xml:space="preserve">
(без наличника) в мм</t>
        </r>
      </text>
    </comment>
    <comment ref="G64" authorId="0" shapeId="0">
      <text>
        <r>
          <rPr>
            <b/>
            <sz val="8"/>
            <color indexed="81"/>
            <rFont val="Tahoma"/>
            <family val="2"/>
            <charset val="204"/>
          </rPr>
          <t>наружные размеры фрамуги</t>
        </r>
        <r>
          <rPr>
            <b/>
            <sz val="8"/>
            <color indexed="81"/>
            <rFont val="Tahoma"/>
            <family val="2"/>
            <charset val="204"/>
          </rPr>
          <t xml:space="preserve">
(без наличника) в мм</t>
        </r>
      </text>
    </comment>
  </commentList>
</comments>
</file>

<file path=xl/sharedStrings.xml><?xml version="1.0" encoding="utf-8"?>
<sst xmlns="http://schemas.openxmlformats.org/spreadsheetml/2006/main" count="5195" uniqueCount="1894">
  <si>
    <t>Виставковий стенд П.80.2400*1950</t>
  </si>
  <si>
    <t>Виставковий стенд П.80.2400*2050</t>
  </si>
  <si>
    <t>Виставковий стенд П.80.2400*2150</t>
  </si>
  <si>
    <t>Ручка дверна OFFICE золото</t>
  </si>
  <si>
    <t>Ручка дверна OFFICE срібло мат</t>
  </si>
  <si>
    <t>Накладка на завісу золото</t>
  </si>
  <si>
    <t>Накладка на завісу золото мат.</t>
  </si>
  <si>
    <t>Накладка на завісу срібло мат.</t>
  </si>
  <si>
    <t>Отдельный диапазон для ВПР (важно!!!)</t>
  </si>
  <si>
    <t>Виставковий стенд П.80.2400*1120</t>
  </si>
  <si>
    <t>Виставковий стенд П.80.2400*1220</t>
  </si>
  <si>
    <t>Виставковий стенд П.80.2400*1320</t>
  </si>
  <si>
    <t>Ручка VERONA (золото)</t>
  </si>
  <si>
    <t>Ручка MILANO (золото)</t>
  </si>
  <si>
    <t>ВАЛЮТА</t>
  </si>
  <si>
    <t>vat_yesno</t>
  </si>
  <si>
    <t>грн. / 1 валюта</t>
  </si>
  <si>
    <t>мод: A</t>
  </si>
  <si>
    <t>мод: B</t>
  </si>
  <si>
    <t>мод: C</t>
  </si>
  <si>
    <t>мод: D</t>
  </si>
  <si>
    <t>мод: E</t>
  </si>
  <si>
    <t>мод: F</t>
  </si>
  <si>
    <t>мод: G</t>
  </si>
  <si>
    <t>мод: H</t>
  </si>
  <si>
    <t>мод: I</t>
  </si>
  <si>
    <t>20-(10)</t>
  </si>
  <si>
    <t>20-(11)</t>
  </si>
  <si>
    <t>20-(12)</t>
  </si>
  <si>
    <t>20-(13)</t>
  </si>
  <si>
    <t>20-(14)</t>
  </si>
  <si>
    <t>20-(15)</t>
  </si>
  <si>
    <t>20-(16)</t>
  </si>
  <si>
    <t>20-(17)</t>
  </si>
  <si>
    <t>20-(18)</t>
  </si>
  <si>
    <t>м.п.</t>
  </si>
  <si>
    <t>стандарт</t>
  </si>
  <si>
    <t xml:space="preserve">Телефон:  </t>
  </si>
  <si>
    <t>dimentions</t>
  </si>
  <si>
    <t>filling</t>
  </si>
  <si>
    <t>glass</t>
  </si>
  <si>
    <t>type</t>
  </si>
  <si>
    <t>sides</t>
  </si>
  <si>
    <t>створч.</t>
  </si>
  <si>
    <t>Коэффиц. НДС</t>
  </si>
  <si>
    <t>описание</t>
  </si>
  <si>
    <t>СЕРИЯ/МОДЕЛЬ</t>
  </si>
  <si>
    <t>Завіса 2-х штирьова</t>
  </si>
  <si>
    <t>Планка замкова</t>
  </si>
  <si>
    <t>Поріг Д80.00-09.01.лак</t>
  </si>
  <si>
    <t>Поріг Д80.00-18.01.лак</t>
  </si>
  <si>
    <t>Шпінгалет AGB 120/13 врізн.нікель</t>
  </si>
  <si>
    <t>Циліндр несиметричний нікель</t>
  </si>
  <si>
    <t>№:</t>
  </si>
  <si>
    <t>01</t>
  </si>
  <si>
    <t>02</t>
  </si>
  <si>
    <t>03</t>
  </si>
  <si>
    <t>04</t>
  </si>
  <si>
    <t>05</t>
  </si>
  <si>
    <t>06</t>
  </si>
  <si>
    <t>09</t>
  </si>
  <si>
    <t>С</t>
  </si>
  <si>
    <t>хх</t>
  </si>
  <si>
    <t>00</t>
  </si>
  <si>
    <t>30</t>
  </si>
  <si>
    <t>Ц</t>
  </si>
  <si>
    <t>Пр</t>
  </si>
  <si>
    <t>models</t>
  </si>
  <si>
    <t>СЕРИЯ</t>
  </si>
  <si>
    <t>МОДЕЛЬ</t>
  </si>
  <si>
    <t>Акция (название)</t>
  </si>
  <si>
    <t>%</t>
  </si>
  <si>
    <t>примечание</t>
  </si>
  <si>
    <t>СЕРИЯ/ЗАПОЛНЕНИЕ</t>
  </si>
  <si>
    <t>ЦВЕТ</t>
  </si>
  <si>
    <t>ЗАПОЛНЕНИЕ</t>
  </si>
  <si>
    <t>заполнение</t>
  </si>
  <si>
    <t>ОСТЕКЛЕНИЕ</t>
  </si>
  <si>
    <t>остекление</t>
  </si>
  <si>
    <t>Без планки замка</t>
  </si>
  <si>
    <t>С планкой замка</t>
  </si>
  <si>
    <t>20-06</t>
  </si>
  <si>
    <t>20-07</t>
  </si>
  <si>
    <t>20-08</t>
  </si>
  <si>
    <t>20-09</t>
  </si>
  <si>
    <t>20-10</t>
  </si>
  <si>
    <t>вент.о</t>
  </si>
  <si>
    <t>vent</t>
  </si>
  <si>
    <t>СЕРИЯ.ИСПОЛНЕНИЕ.ТИП</t>
  </si>
  <si>
    <t>ОТДУШИНЫ</t>
  </si>
  <si>
    <t>НАВЕСКА</t>
  </si>
  <si>
    <t>сверка</t>
  </si>
  <si>
    <t>Виставковий стенд П.80.2400*2250</t>
  </si>
  <si>
    <t>СЕРИЯ.МОДЕЛЬ</t>
  </si>
  <si>
    <t>ТИП</t>
  </si>
  <si>
    <t>ЗАПОЛН.</t>
  </si>
  <si>
    <t>МОД.</t>
  </si>
  <si>
    <t>тип</t>
  </si>
  <si>
    <t>type_2</t>
  </si>
  <si>
    <t>60</t>
  </si>
  <si>
    <t>70</t>
  </si>
  <si>
    <t>80</t>
  </si>
  <si>
    <t>90</t>
  </si>
  <si>
    <t>100</t>
  </si>
  <si>
    <t>seriya_DL</t>
  </si>
  <si>
    <t>seriya_DF</t>
  </si>
  <si>
    <t>(100)</t>
  </si>
  <si>
    <t>(110)</t>
  </si>
  <si>
    <t>(120)</t>
  </si>
  <si>
    <t>(130)</t>
  </si>
  <si>
    <t>(140)</t>
  </si>
  <si>
    <t>(150)</t>
  </si>
  <si>
    <t>(160)</t>
  </si>
  <si>
    <t>(170)</t>
  </si>
  <si>
    <t>(180)</t>
  </si>
  <si>
    <t>стандарт,</t>
  </si>
  <si>
    <t>seriya_FR</t>
  </si>
  <si>
    <t>ширина</t>
  </si>
  <si>
    <t>комплект</t>
  </si>
  <si>
    <t>200</t>
  </si>
  <si>
    <t>исходные критерии</t>
  </si>
  <si>
    <t>база</t>
  </si>
  <si>
    <t>грн.</t>
  </si>
  <si>
    <t>АКЦИЯ</t>
  </si>
  <si>
    <t>от</t>
  </si>
  <si>
    <t>БАЗОВАЯ ЦЕНА</t>
  </si>
  <si>
    <t>116 Дуб британ</t>
  </si>
  <si>
    <t>СЕРИЯ/ИСПОЛНЕНИЕ</t>
  </si>
  <si>
    <t>КУРС ВАЛЮТ:</t>
  </si>
  <si>
    <t>Ручка OFFICE (золото)</t>
  </si>
  <si>
    <t>Ручка дверна VERONA золото</t>
  </si>
  <si>
    <t>Ручка дверна VERONA срібло мат</t>
  </si>
  <si>
    <t>Ручка дверна MILANO золото</t>
  </si>
  <si>
    <t>Ручка дверна MILANO срібло мат</t>
  </si>
  <si>
    <t>Ручка дверна PRIUS срібло</t>
  </si>
  <si>
    <t>Ручка дверна PRIUS срібло мат</t>
  </si>
  <si>
    <t>ФУРНИТУРА</t>
  </si>
  <si>
    <t>размер</t>
  </si>
  <si>
    <t>(дата)</t>
  </si>
  <si>
    <t>Сатин</t>
  </si>
  <si>
    <t>Ручка-Захват</t>
  </si>
  <si>
    <t>цвет</t>
  </si>
  <si>
    <t>модель</t>
  </si>
  <si>
    <t>серия</t>
  </si>
  <si>
    <t>стекло</t>
  </si>
  <si>
    <t>фурнитура</t>
  </si>
  <si>
    <t>навеска</t>
  </si>
  <si>
    <t>A</t>
  </si>
  <si>
    <t>B</t>
  </si>
  <si>
    <t>C</t>
  </si>
  <si>
    <t>D</t>
  </si>
  <si>
    <t>E</t>
  </si>
  <si>
    <t>F</t>
  </si>
  <si>
    <t>G</t>
  </si>
  <si>
    <t>H</t>
  </si>
  <si>
    <t>I</t>
  </si>
  <si>
    <t>туннель</t>
  </si>
  <si>
    <t>seriya3</t>
  </si>
  <si>
    <t>seriya4</t>
  </si>
  <si>
    <t>№</t>
  </si>
  <si>
    <t>Дошивка Р160</t>
  </si>
  <si>
    <t>4</t>
  </si>
  <si>
    <t>5</t>
  </si>
  <si>
    <t>6</t>
  </si>
  <si>
    <t>1</t>
  </si>
  <si>
    <t>2</t>
  </si>
  <si>
    <t>3</t>
  </si>
  <si>
    <t>СТЕКЛО</t>
  </si>
  <si>
    <t>Объект</t>
  </si>
  <si>
    <t>Описание</t>
  </si>
  <si>
    <t>кол-во</t>
  </si>
  <si>
    <t>цена</t>
  </si>
  <si>
    <t>цена ед</t>
  </si>
  <si>
    <t>фурн</t>
  </si>
  <si>
    <t>сумма грн.</t>
  </si>
  <si>
    <t>ИТОГО</t>
  </si>
  <si>
    <t>Дошивка Р080</t>
  </si>
  <si>
    <t>мод</t>
  </si>
  <si>
    <t>декор</t>
  </si>
  <si>
    <t>сумма розница</t>
  </si>
  <si>
    <t>ЦЕНА ФУРНИТУРА</t>
  </si>
  <si>
    <t>СЕРИЯ/МОДЕЛЬ/ОСТЕКЛЕНИЕ</t>
  </si>
  <si>
    <t>ЦЕНА ЗАПОЛНЕНИЯ</t>
  </si>
  <si>
    <t>ЦЕНА ОСТЕКЛЕНИЕ</t>
  </si>
  <si>
    <t>07</t>
  </si>
  <si>
    <t>мод: 7</t>
  </si>
  <si>
    <t>7</t>
  </si>
  <si>
    <t>ТИП_2</t>
  </si>
  <si>
    <t>ПОКРЫТИЕ</t>
  </si>
  <si>
    <t>color</t>
  </si>
  <si>
    <t>furniture</t>
  </si>
  <si>
    <t>ФРУНИТУРА</t>
  </si>
  <si>
    <t>Ручка-Замок</t>
  </si>
  <si>
    <t>Виставковий стенд П.80.2400*1020</t>
  </si>
  <si>
    <t>ед.изм</t>
  </si>
  <si>
    <t>шт</t>
  </si>
  <si>
    <t>компл</t>
  </si>
  <si>
    <t>Виставковий стенд П.80.2400*1420</t>
  </si>
  <si>
    <t>ВП</t>
  </si>
  <si>
    <t>Фрамуга: Verto-FIT (на ширину 220-240мм)</t>
  </si>
  <si>
    <t>Фрамуга: Verto-FIT (на ширину 240-260мм)</t>
  </si>
  <si>
    <t>КОД</t>
  </si>
  <si>
    <t>ОПИСАНИЕ</t>
  </si>
  <si>
    <t>ххх</t>
  </si>
  <si>
    <t>зап: стандарт</t>
  </si>
  <si>
    <t>заполн</t>
  </si>
  <si>
    <t>Ручка-Захват.</t>
  </si>
  <si>
    <t>Ручка-Замок.</t>
  </si>
  <si>
    <t>40</t>
  </si>
  <si>
    <t>Лиштва М60</t>
  </si>
  <si>
    <t>Дошивка М060</t>
  </si>
  <si>
    <t>Дошивка М110</t>
  </si>
  <si>
    <t>21-10</t>
  </si>
  <si>
    <t>21-20</t>
  </si>
  <si>
    <t>Лутка Р075</t>
  </si>
  <si>
    <t>Лутка Р095</t>
  </si>
  <si>
    <t>Лутка Р120</t>
  </si>
  <si>
    <t>Лутка Р140</t>
  </si>
  <si>
    <t>Лутка Р160</t>
  </si>
  <si>
    <t>Лутка Р180</t>
  </si>
  <si>
    <t>Лутка Р200</t>
  </si>
  <si>
    <t>Лутка Р220</t>
  </si>
  <si>
    <t>Лутка Р240</t>
  </si>
  <si>
    <t>РС В-слайд</t>
  </si>
  <si>
    <t>Фрамуга Р075</t>
  </si>
  <si>
    <t>Фрамуга Р095</t>
  </si>
  <si>
    <t>Фрамуга Р120</t>
  </si>
  <si>
    <t>Фрамуга Р140</t>
  </si>
  <si>
    <t>Фрамуга Р160</t>
  </si>
  <si>
    <t>Фрамуга Р180</t>
  </si>
  <si>
    <t>Фрамуга Р200</t>
  </si>
  <si>
    <t>Фрамуга Р220</t>
  </si>
  <si>
    <t>Фрамуга Р240</t>
  </si>
  <si>
    <t>Фрамуга: Verto-FIT (на ширину 75-95мм)</t>
  </si>
  <si>
    <t>Фрамуга: Verto-FIT (на ширину 95-115мм)</t>
  </si>
  <si>
    <t>Фрамуга: Verto-FIT (на ширину 120-140мм)</t>
  </si>
  <si>
    <t>Фрамуга: Verto-FIT (на ширину 140-160мм)</t>
  </si>
  <si>
    <t>Фрамуга: Verto-FIT (на ширину 160-180мм)</t>
  </si>
  <si>
    <t>Фрамуга: Verto-FIT (на ширину 180-200мм)</t>
  </si>
  <si>
    <t>Фрамуга: Verto-FIT (на ширину 200-220мм)</t>
  </si>
  <si>
    <t>Виставковий стенд П.80.2400*1450</t>
  </si>
  <si>
    <t>Виставковий стенд П.80.2400*1550</t>
  </si>
  <si>
    <t>навес</t>
  </si>
  <si>
    <t>шир.мм</t>
  </si>
  <si>
    <t>коробка</t>
  </si>
  <si>
    <t>door_frame</t>
  </si>
  <si>
    <t>КОРОБКА</t>
  </si>
  <si>
    <t>frame_model</t>
  </si>
  <si>
    <t>frame_nalichnik</t>
  </si>
  <si>
    <t>НАЛИЧНИК</t>
  </si>
  <si>
    <t>М60 1кт</t>
  </si>
  <si>
    <t>М60 2кт</t>
  </si>
  <si>
    <t>в цене</t>
  </si>
  <si>
    <t>ДП</t>
  </si>
  <si>
    <t>КД</t>
  </si>
  <si>
    <t>НАЛ</t>
  </si>
  <si>
    <t>КОЛ-ВО</t>
  </si>
  <si>
    <t>изд.</t>
  </si>
  <si>
    <t>исп.</t>
  </si>
  <si>
    <t>шир</t>
  </si>
  <si>
    <t>ВПР (ДБ)</t>
  </si>
  <si>
    <t>тест</t>
  </si>
  <si>
    <t>коробка - код</t>
  </si>
  <si>
    <t>исполнение ДП-КД</t>
  </si>
  <si>
    <t>фурнитура ДП-КД</t>
  </si>
  <si>
    <t>навеска ДП-КД</t>
  </si>
  <si>
    <t>0</t>
  </si>
  <si>
    <t>покр</t>
  </si>
  <si>
    <t>покрытие для ЦЕН</t>
  </si>
  <si>
    <t>Виставковий стенд П.80.2400*1650</t>
  </si>
  <si>
    <t>Виставковий стенд П.80.2400*1750</t>
  </si>
  <si>
    <t>Виставковий стенд П.80.2400*1850</t>
  </si>
  <si>
    <t>ЦЕНА ВЕНТ.ОТДУШИНЫ</t>
  </si>
  <si>
    <t>СЕРИЯ/ВЕНТ.ОТДУШИНЫ</t>
  </si>
  <si>
    <t>Лутка М80</t>
  </si>
  <si>
    <t>08</t>
  </si>
  <si>
    <t>63</t>
  </si>
  <si>
    <t>мод: 1</t>
  </si>
  <si>
    <t>мод: 2</t>
  </si>
  <si>
    <t>мод: 3</t>
  </si>
  <si>
    <t>мод: 4</t>
  </si>
  <si>
    <t>мод: 5</t>
  </si>
  <si>
    <t>мод: 6</t>
  </si>
  <si>
    <t>мод: 9</t>
  </si>
  <si>
    <t>форма</t>
  </si>
  <si>
    <t>лист1</t>
  </si>
  <si>
    <t>СЕРИЯ/ФУРНИТУРА</t>
  </si>
  <si>
    <t>итого</t>
  </si>
  <si>
    <t>33</t>
  </si>
  <si>
    <t>34</t>
  </si>
  <si>
    <t>ДП100</t>
  </si>
  <si>
    <t>Дошивка Р200</t>
  </si>
  <si>
    <t>Лутка Р100</t>
  </si>
  <si>
    <t>B+</t>
  </si>
  <si>
    <t>мод: B+</t>
  </si>
  <si>
    <t>Фрамуга Р100</t>
  </si>
  <si>
    <t>Фрамуга: Verto-FIT (на ширину 100-120мм)</t>
  </si>
  <si>
    <t>Дошивка М200</t>
  </si>
  <si>
    <t>20-00</t>
  </si>
  <si>
    <t>шт.</t>
  </si>
  <si>
    <t>119 Дуб ретро</t>
  </si>
  <si>
    <t>120 Дуб невада</t>
  </si>
  <si>
    <t>фальц</t>
  </si>
  <si>
    <t>купе</t>
  </si>
  <si>
    <t>фальц.</t>
  </si>
  <si>
    <t>купе.</t>
  </si>
  <si>
    <t>фальц,</t>
  </si>
  <si>
    <t>комплект,</t>
  </si>
  <si>
    <t>ДП - КД - НАЛ</t>
  </si>
  <si>
    <t>20-06ч</t>
  </si>
  <si>
    <t>20-07ч</t>
  </si>
  <si>
    <t>20-08ч</t>
  </si>
  <si>
    <t>20-09ч</t>
  </si>
  <si>
    <t>20-06т</t>
  </si>
  <si>
    <t>20-07т</t>
  </si>
  <si>
    <t>20-08т</t>
  </si>
  <si>
    <t>20-09т</t>
  </si>
  <si>
    <t>20-10ч</t>
  </si>
  <si>
    <t>20-10т</t>
  </si>
  <si>
    <t>20-(10)т</t>
  </si>
  <si>
    <t>20-(11)т</t>
  </si>
  <si>
    <t>20-(12)т</t>
  </si>
  <si>
    <t>20-(13)т</t>
  </si>
  <si>
    <t>20-(14)т</t>
  </si>
  <si>
    <t>20-(15)т</t>
  </si>
  <si>
    <t>20-(16)т</t>
  </si>
  <si>
    <t>20-(17)т</t>
  </si>
  <si>
    <t>20-(18)т</t>
  </si>
  <si>
    <t>РАЗДЕЛ ТОЛЬКО ДЛЯ ПОЛОТЕН</t>
  </si>
  <si>
    <t>ххV</t>
  </si>
  <si>
    <t>ххR</t>
  </si>
  <si>
    <t>30V</t>
  </si>
  <si>
    <t>33V</t>
  </si>
  <si>
    <t>34V</t>
  </si>
  <si>
    <t>30R</t>
  </si>
  <si>
    <t>33R</t>
  </si>
  <si>
    <t>34R</t>
  </si>
  <si>
    <t>60V</t>
  </si>
  <si>
    <t>63V</t>
  </si>
  <si>
    <t>РАЗДЕЛ ТОЛЬКО ДЛЯ КОРОБОК И РС</t>
  </si>
  <si>
    <t>В FORM!!</t>
  </si>
  <si>
    <t>что это?</t>
  </si>
  <si>
    <t>без знака</t>
  </si>
  <si>
    <t>ч</t>
  </si>
  <si>
    <t>т</t>
  </si>
  <si>
    <t>V</t>
  </si>
  <si>
    <t>R</t>
  </si>
  <si>
    <t>МОДЕЛЬ ПОЛОТНА</t>
  </si>
  <si>
    <t>актуальна на дату:</t>
  </si>
  <si>
    <t>Лутка Рххх</t>
  </si>
  <si>
    <t>ФРАМУГИ</t>
  </si>
  <si>
    <t>ххх-ххх</t>
  </si>
  <si>
    <t>Фрамуга Рххх</t>
  </si>
  <si>
    <t>Дошивка Р160.20-09.01.107</t>
  </si>
  <si>
    <t>одна деталь 2070мм</t>
  </si>
  <si>
    <t>00-09</t>
  </si>
  <si>
    <t>00-18</t>
  </si>
  <si>
    <t>Поріг Д80</t>
  </si>
  <si>
    <t>2050 мм</t>
  </si>
  <si>
    <t>ДП Tango</t>
  </si>
  <si>
    <t>ДП Milano</t>
  </si>
  <si>
    <t>ДП Liano</t>
  </si>
  <si>
    <t>ДП Bergamo</t>
  </si>
  <si>
    <t>ДП Grande</t>
  </si>
  <si>
    <t>ДП Piano</t>
  </si>
  <si>
    <t>ДП Viento</t>
  </si>
  <si>
    <t>КД Classic</t>
  </si>
  <si>
    <t>КД ECO-FIT</t>
  </si>
  <si>
    <t>РС ECO-SLIDE</t>
  </si>
  <si>
    <t>ФР ECO-FIT</t>
  </si>
  <si>
    <t>Планка ECO-FIT 80мм</t>
  </si>
  <si>
    <t>Планка ECO-FIT 160мм</t>
  </si>
  <si>
    <t>Планка ECO-FIT 200мм</t>
  </si>
  <si>
    <t>ДП TANGO.1</t>
  </si>
  <si>
    <t>ДП ECO-Tango</t>
  </si>
  <si>
    <t>ДП TANGO.2</t>
  </si>
  <si>
    <t>ДП TANGO.3</t>
  </si>
  <si>
    <t>ДП TANGO.4</t>
  </si>
  <si>
    <t>ДП TANGO.5</t>
  </si>
  <si>
    <t>ДП TANGO.6</t>
  </si>
  <si>
    <t>ДП TANGO.7</t>
  </si>
  <si>
    <t>ДП MILANO.1</t>
  </si>
  <si>
    <t>ДП ECO-Milano</t>
  </si>
  <si>
    <t>ДП MILANO.2</t>
  </si>
  <si>
    <t>ДП MILANO.3</t>
  </si>
  <si>
    <t>ДП MILANO.4</t>
  </si>
  <si>
    <t>ДП MILANO.5</t>
  </si>
  <si>
    <t>ДП MILANO.6</t>
  </si>
  <si>
    <t>ДП MILANO.7</t>
  </si>
  <si>
    <t>ДП MILANO.8</t>
  </si>
  <si>
    <t>ДП MILANO.9</t>
  </si>
  <si>
    <t>ДП MILANO.1A</t>
  </si>
  <si>
    <t>ДП MILANO.2A</t>
  </si>
  <si>
    <t>ДП MILANO.3A</t>
  </si>
  <si>
    <t>ДП MILANO.4A</t>
  </si>
  <si>
    <t>ДП LIANO.1</t>
  </si>
  <si>
    <t>ДП ECO-Liano</t>
  </si>
  <si>
    <t>ДП LIANO.2</t>
  </si>
  <si>
    <t>ДП LIANO.3</t>
  </si>
  <si>
    <t>ДП LIANO.4</t>
  </si>
  <si>
    <t>ДП LIANO.5</t>
  </si>
  <si>
    <t>ДП LIANO.6</t>
  </si>
  <si>
    <t>ДП LIANO.1A</t>
  </si>
  <si>
    <t>ДП LIANO.2A</t>
  </si>
  <si>
    <t>ДП LIANO.3A</t>
  </si>
  <si>
    <t>ДП LIANO.4A</t>
  </si>
  <si>
    <t>ДП BERGAMO.1</t>
  </si>
  <si>
    <t>ДП ECO-Bergamo</t>
  </si>
  <si>
    <t>ДП BERGAMO.2</t>
  </si>
  <si>
    <t>ДП BERGAMO.3</t>
  </si>
  <si>
    <t>ДП BERGAMO.4</t>
  </si>
  <si>
    <t>ДП BERGAMO.5</t>
  </si>
  <si>
    <t>ДП BERGAMO.6</t>
  </si>
  <si>
    <t>ДП BERGAMO.1A</t>
  </si>
  <si>
    <t>ДП BERGAMO.2A</t>
  </si>
  <si>
    <t>ДП BERGAMO.3A</t>
  </si>
  <si>
    <t>ДП BERGAMO.4A</t>
  </si>
  <si>
    <t>ДП GRANDE.1</t>
  </si>
  <si>
    <t>ДП ECO-Grande</t>
  </si>
  <si>
    <t>ДП GRANDE.2</t>
  </si>
  <si>
    <t>ДП GRANDE.3</t>
  </si>
  <si>
    <t>ДП GRANDE.4</t>
  </si>
  <si>
    <t>ДП GRANDE.5</t>
  </si>
  <si>
    <t>ДП GRANDE.6</t>
  </si>
  <si>
    <t>ДП GRANDE.1A</t>
  </si>
  <si>
    <t>ДП GRANDE.2A</t>
  </si>
  <si>
    <t>ДП GRANDE.3A</t>
  </si>
  <si>
    <t>ДП GRANDE.4A</t>
  </si>
  <si>
    <t>ДП PIANO.1</t>
  </si>
  <si>
    <t>ДП ECO-Piano</t>
  </si>
  <si>
    <t>ДП PIANO.2</t>
  </si>
  <si>
    <t>ДП PIANO.3</t>
  </si>
  <si>
    <t>ДП VIENTO.1</t>
  </si>
  <si>
    <t>ДП ECO-Viento</t>
  </si>
  <si>
    <t>ДП VIENTO.2</t>
  </si>
  <si>
    <t>ДП VIENTO.3</t>
  </si>
  <si>
    <t>ДП VIENTO.4</t>
  </si>
  <si>
    <t>ДП VIENTO.5</t>
  </si>
  <si>
    <t>ДП VIENTO.1A</t>
  </si>
  <si>
    <t>ДП VIENTO.2A</t>
  </si>
  <si>
    <t>КД Classic.1</t>
  </si>
  <si>
    <t>КД ECO-FIT.A</t>
  </si>
  <si>
    <t>КД ECO-FIT.B</t>
  </si>
  <si>
    <t>КД ECO-FIT.B+</t>
  </si>
  <si>
    <t>КД ECO-FIT.C</t>
  </si>
  <si>
    <t>КД ECO-FIT.D</t>
  </si>
  <si>
    <t>КД ECO-FIT.E</t>
  </si>
  <si>
    <t>КД ECO-FIT.F</t>
  </si>
  <si>
    <t>КД ECO-FIT.G</t>
  </si>
  <si>
    <t>КД ECO-FIT.H</t>
  </si>
  <si>
    <t>КД ECO-FIT.I</t>
  </si>
  <si>
    <t>РС ECO-SLIDE.1</t>
  </si>
  <si>
    <t>ФР ECO-FIT.A</t>
  </si>
  <si>
    <t>ФР ECO-FIT.B</t>
  </si>
  <si>
    <t>ФР ECO-FIT.B+</t>
  </si>
  <si>
    <t>ФР ECO-FIT.C</t>
  </si>
  <si>
    <t>ФР ECO-FIT.D</t>
  </si>
  <si>
    <t>ФР ECO-FIT.E</t>
  </si>
  <si>
    <t>ФР ECO-FIT.F</t>
  </si>
  <si>
    <t>ФР ECO-FIT.G</t>
  </si>
  <si>
    <t>ФР ECO-FIT.H</t>
  </si>
  <si>
    <t>ФР ECO-FIT.I</t>
  </si>
  <si>
    <t>1A</t>
  </si>
  <si>
    <t>мод: 1A</t>
  </si>
  <si>
    <t>2A</t>
  </si>
  <si>
    <t>мод: 2A</t>
  </si>
  <si>
    <t>3A</t>
  </si>
  <si>
    <t>мод: 3A</t>
  </si>
  <si>
    <t>4A</t>
  </si>
  <si>
    <t>мод: 4A</t>
  </si>
  <si>
    <t>мод: 8</t>
  </si>
  <si>
    <t>Стандарт</t>
  </si>
  <si>
    <t>Сн</t>
  </si>
  <si>
    <t>ДП TANGO</t>
  </si>
  <si>
    <t>ДП MILANO</t>
  </si>
  <si>
    <t>8</t>
  </si>
  <si>
    <t>9</t>
  </si>
  <si>
    <t>ДП LIANO</t>
  </si>
  <si>
    <t>ДП BERGAMO</t>
  </si>
  <si>
    <t>ДП GRANDE</t>
  </si>
  <si>
    <t>ДП PIANO</t>
  </si>
  <si>
    <t>ДП VIENTO</t>
  </si>
  <si>
    <t>ECO-Cell</t>
  </si>
  <si>
    <t>КД Classic.60</t>
  </si>
  <si>
    <t>КД Classic.70</t>
  </si>
  <si>
    <t>КД Classic.80</t>
  </si>
  <si>
    <t>КД Classic.90</t>
  </si>
  <si>
    <t>КД Classic.100</t>
  </si>
  <si>
    <t>КД ECO-FIT.60</t>
  </si>
  <si>
    <t>КД ECO-FIT.70</t>
  </si>
  <si>
    <t>КД ECO-FIT.80</t>
  </si>
  <si>
    <t>КД ECO-FIT.90</t>
  </si>
  <si>
    <t>КД ECO-FIT.100</t>
  </si>
  <si>
    <t>ДП TANGO.1.ECO-CELL</t>
  </si>
  <si>
    <t>ДП TANGO.2.ECO-CELL</t>
  </si>
  <si>
    <t>ДП TANGO.3.ECO-CELL</t>
  </si>
  <si>
    <t>ДП TANGO.4.ECO-CELL</t>
  </si>
  <si>
    <t>ДП TANGO.5.ECO-CELL</t>
  </si>
  <si>
    <t>ДП TANGO.6.ECO-CELL</t>
  </si>
  <si>
    <t>ДП TANGO.7.ECO-CELL</t>
  </si>
  <si>
    <t>ДП MILANO.1.ECO-CELL</t>
  </si>
  <si>
    <t>ДП MILANO.2.ECO-CELL</t>
  </si>
  <si>
    <t>ДП MILANO.3.ECO-CELL</t>
  </si>
  <si>
    <t>ДП MILANO.4.ECO-CELL</t>
  </si>
  <si>
    <t>ДП MILANO.5.ECO-CELL</t>
  </si>
  <si>
    <t>ДП MILANO.6.ECO-CELL</t>
  </si>
  <si>
    <t>ДП MILANO.7.ECO-CELL</t>
  </si>
  <si>
    <t>ДП MILANO.8.ECO-CELL</t>
  </si>
  <si>
    <t>ДП MILANO.9.ECO-CELL</t>
  </si>
  <si>
    <t>ДП MILANO.1A.ECO-CELL</t>
  </si>
  <si>
    <t>ДП MILANO.2A.ECO-CELL</t>
  </si>
  <si>
    <t>ДП MILANO.3A.ECO-CELL</t>
  </si>
  <si>
    <t>ДП MILANO.4A.ECO-CELL</t>
  </si>
  <si>
    <t>ДП LIANO.1.ECO-CELL</t>
  </si>
  <si>
    <t>ДП LIANO.2.ECO-CELL</t>
  </si>
  <si>
    <t>ДП LIANO.3.ECO-CELL</t>
  </si>
  <si>
    <t>ДП LIANO.4.ECO-CELL</t>
  </si>
  <si>
    <t>ДП LIANO.5.ECO-CELL</t>
  </si>
  <si>
    <t>ДП LIANO.6.ECO-CELL</t>
  </si>
  <si>
    <t>ДП LIANO.1A.ECO-CELL</t>
  </si>
  <si>
    <t>ДП LIANO.2A.ECO-CELL</t>
  </si>
  <si>
    <t>ДП LIANO.3A.ECO-CELL</t>
  </si>
  <si>
    <t>ДП LIANO.4A.ECO-CELL</t>
  </si>
  <si>
    <t>ДП BERGAMO.1.ECO-CELL</t>
  </si>
  <si>
    <t>ДП BERGAMO.2.ECO-CELL</t>
  </si>
  <si>
    <t>ДП BERGAMO.3.ECO-CELL</t>
  </si>
  <si>
    <t>ДП BERGAMO.4.ECO-CELL</t>
  </si>
  <si>
    <t>ДП BERGAMO.5.ECO-CELL</t>
  </si>
  <si>
    <t>ДП BERGAMO.6.ECO-CELL</t>
  </si>
  <si>
    <t>ДП BERGAMO.1A.ECO-CELL</t>
  </si>
  <si>
    <t>ДП BERGAMO.2A.ECO-CELL</t>
  </si>
  <si>
    <t>ДП BERGAMO.3A.ECO-CELL</t>
  </si>
  <si>
    <t>ДП BERGAMO.4A.ECO-CELL</t>
  </si>
  <si>
    <t>ДП GRANDE.1.ECO-CELL</t>
  </si>
  <si>
    <t>ДП GRANDE.2.ECO-CELL</t>
  </si>
  <si>
    <t>ДП GRANDE.3.ECO-CELL</t>
  </si>
  <si>
    <t>ДП GRANDE.4.ECO-CELL</t>
  </si>
  <si>
    <t>ДП GRANDE.5.ECO-CELL</t>
  </si>
  <si>
    <t>ДП GRANDE.6.ECO-CELL</t>
  </si>
  <si>
    <t>ДП GRANDE.1A.ECO-CELL</t>
  </si>
  <si>
    <t>ДП GRANDE.2A.ECO-CELL</t>
  </si>
  <si>
    <t>ДП GRANDE.3A.ECO-CELL</t>
  </si>
  <si>
    <t>ДП GRANDE.4A.ECO-CELL</t>
  </si>
  <si>
    <t>ДП PIANO.1.ECO-CELL</t>
  </si>
  <si>
    <t>ДП PIANO.2.ECO-CELL</t>
  </si>
  <si>
    <t>ДП PIANO.3.ECO-CELL</t>
  </si>
  <si>
    <t>ДП VIENTO.1.ECO-CELL</t>
  </si>
  <si>
    <t>ДП VIENTO.2.ECO-CELL</t>
  </si>
  <si>
    <t>ДП VIENTO.3.ECO-CELL</t>
  </si>
  <si>
    <t>ДП VIENTO.4.ECO-CELL</t>
  </si>
  <si>
    <t>ДП VIENTO.5.ECO-CELL</t>
  </si>
  <si>
    <t>ДП VIENTO.1A.ECO-CELL</t>
  </si>
  <si>
    <t>ДП VIENTO.2A.ECO-CELL</t>
  </si>
  <si>
    <t>КД Classic.1.ECO-CELL</t>
  </si>
  <si>
    <t>КД ECO-FIT.A.ECO-CELL</t>
  </si>
  <si>
    <t>КД ECO-FIT.B.ECO-CELL</t>
  </si>
  <si>
    <t>КД ECO-FIT.B+.ECO-CELL</t>
  </si>
  <si>
    <t>КД ECO-FIT.C.ECO-CELL</t>
  </si>
  <si>
    <t>КД ECO-FIT.D.ECO-CELL</t>
  </si>
  <si>
    <t>КД ECO-FIT.E.ECO-CELL</t>
  </si>
  <si>
    <t>КД ECO-FIT.F.ECO-CELL</t>
  </si>
  <si>
    <t>КД ECO-FIT.G.ECO-CELL</t>
  </si>
  <si>
    <t>КД ECO-FIT.H.ECO-CELL</t>
  </si>
  <si>
    <t>КД ECO-FIT.I.ECO-CELL</t>
  </si>
  <si>
    <t>РС ECO-SLIDE.1.ECO-CELL</t>
  </si>
  <si>
    <t>ФР ECO-FIT.A.ECO-CELL</t>
  </si>
  <si>
    <t>ФР ECO-FIT.B.ECO-CELL</t>
  </si>
  <si>
    <t>ФР ECO-FIT.B+.ECO-CELL</t>
  </si>
  <si>
    <t>ФР ECO-FIT.C.ECO-CELL</t>
  </si>
  <si>
    <t>ФР ECO-FIT.D.ECO-CELL</t>
  </si>
  <si>
    <t>ФР ECO-FIT.E.ECO-CELL</t>
  </si>
  <si>
    <t>ФР ECO-FIT.F.ECO-CELL</t>
  </si>
  <si>
    <t>ФР ECO-FIT.G.ECO-CELL</t>
  </si>
  <si>
    <t>ФР ECO-FIT.H.ECO-CELL</t>
  </si>
  <si>
    <t>ФР ECO-FIT.I.ECO-CELL</t>
  </si>
  <si>
    <t>Планка ECO-FIT 80мм.ECO-CELL</t>
  </si>
  <si>
    <t>Планка ECO-FIT 160мм.ECO-CELL</t>
  </si>
  <si>
    <t>Планка ECO-FIT 200мм.ECO-CELL</t>
  </si>
  <si>
    <t>ДП TANGO.Стандарт</t>
  </si>
  <si>
    <t>ДП MILANO.Стандарт</t>
  </si>
  <si>
    <t>ДП LIANO.Стандарт</t>
  </si>
  <si>
    <t>ДП BERGAMO.Стандарт</t>
  </si>
  <si>
    <t>ДП GRANDE.Стандарт</t>
  </si>
  <si>
    <t>ДП PIANO.Стандарт</t>
  </si>
  <si>
    <t>ДП VIENTO.Стандарт</t>
  </si>
  <si>
    <t>ДП TANGO.2.Сатин</t>
  </si>
  <si>
    <t>ДП TANGO.3.Сатин</t>
  </si>
  <si>
    <t>ДП TANGO.4.Сатин</t>
  </si>
  <si>
    <t>ДП TANGO.5.Сатин</t>
  </si>
  <si>
    <t>ДП TANGO.6.Сатин</t>
  </si>
  <si>
    <t>ДП TANGO.7.Сатин</t>
  </si>
  <si>
    <t>ДП MILANO.2.Сатин</t>
  </si>
  <si>
    <t>ДП MILANO.3.Сатин</t>
  </si>
  <si>
    <t>ДП MILANO.4.Сатин</t>
  </si>
  <si>
    <t>ДП MILANO.5.Сатин</t>
  </si>
  <si>
    <t>ДП MILANO.6.Сатин</t>
  </si>
  <si>
    <t>ДП MILANO.7.Сатин</t>
  </si>
  <si>
    <t>ДП MILANO.8.Сатин</t>
  </si>
  <si>
    <t>ДП MILANO.9.Сатин</t>
  </si>
  <si>
    <t>ДП MILANO.1A.Сатин</t>
  </si>
  <si>
    <t>ДП MILANO.2A.Сатин</t>
  </si>
  <si>
    <t>ДП MILANO.3A.Сатин</t>
  </si>
  <si>
    <t>ДП MILANO.4A.Сатин</t>
  </si>
  <si>
    <t>ДП LIANO.2.Сатин</t>
  </si>
  <si>
    <t>ДП LIANO.3.Сатин</t>
  </si>
  <si>
    <t>ДП LIANO.4.Сатин</t>
  </si>
  <si>
    <t>ДП LIANO.5.Сатин</t>
  </si>
  <si>
    <t>ДП LIANO.6.Сатин</t>
  </si>
  <si>
    <t>ДП LIANO.1A.Сатин</t>
  </si>
  <si>
    <t>ДП LIANO.2A.Сатин</t>
  </si>
  <si>
    <t>ДП LIANO.3A.Сатин</t>
  </si>
  <si>
    <t>ДП LIANO.4A.Сатин</t>
  </si>
  <si>
    <t>ДП BERGAMO.2.Сатин</t>
  </si>
  <si>
    <t>ДП BERGAMO.3.Сатин</t>
  </si>
  <si>
    <t>ДП BERGAMO.4.Сатин</t>
  </si>
  <si>
    <t>ДП BERGAMO.5.Сатин</t>
  </si>
  <si>
    <t>ДП BERGAMO.6.Сатин</t>
  </si>
  <si>
    <t>ДП BERGAMO.1A.Сатин</t>
  </si>
  <si>
    <t>ДП BERGAMO.2A.Сатин</t>
  </si>
  <si>
    <t>ДП BERGAMO.3A.Сатин</t>
  </si>
  <si>
    <t>ДП BERGAMO.4A.Сатин</t>
  </si>
  <si>
    <t>ДП GRANDE.2.Сатин</t>
  </si>
  <si>
    <t>ДП GRANDE.3.Сатин</t>
  </si>
  <si>
    <t>ДП GRANDE.4.Сатин</t>
  </si>
  <si>
    <t>ДП GRANDE.5.Сатин</t>
  </si>
  <si>
    <t>ДП GRANDE.6.Сатин</t>
  </si>
  <si>
    <t>ДП GRANDE.1A.Сатин</t>
  </si>
  <si>
    <t>ДП GRANDE.2A.Сатин</t>
  </si>
  <si>
    <t>ДП GRANDE.3A.Сатин</t>
  </si>
  <si>
    <t>ДП GRANDE.4A.Сатин</t>
  </si>
  <si>
    <t>ДП PIANO.2.Сатин</t>
  </si>
  <si>
    <t>ДП PIANO.3.Сатин</t>
  </si>
  <si>
    <t>ДП VIENTO.2.Сатин</t>
  </si>
  <si>
    <t>ДП VIENTO.3.Сатин</t>
  </si>
  <si>
    <t>ДП VIENTO.4.Сатин</t>
  </si>
  <si>
    <t>ДП VIENTO.5.Сатин</t>
  </si>
  <si>
    <t>ДП VIENTO.1A.Сатин</t>
  </si>
  <si>
    <t>ДП VIENTO.2A.Сатин</t>
  </si>
  <si>
    <t>ФР ECO-FIT.Сатин</t>
  </si>
  <si>
    <t>ДП TANGO.Ручка-Захват</t>
  </si>
  <si>
    <t>ДП TANGO.Ручка-Замок</t>
  </si>
  <si>
    <t>ДП MILANO.Ручка-Захват</t>
  </si>
  <si>
    <t>ДП MILANO.Ручка-Замок</t>
  </si>
  <si>
    <t>ДП LIANO.Ручка-Захват</t>
  </si>
  <si>
    <t>ДП LIANO.Ручка-Замок</t>
  </si>
  <si>
    <t>ДП BERGAMO.Ручка-Захват</t>
  </si>
  <si>
    <t>ДП BERGAMO.Ручка-Замок</t>
  </si>
  <si>
    <t>ДП GRANDE.Ручка-Захват</t>
  </si>
  <si>
    <t>ДП GRANDE.Ручка-Замок</t>
  </si>
  <si>
    <t>ДП PIANO.Ручка-Захват</t>
  </si>
  <si>
    <t>ДП PIANO.Ручка-Замок</t>
  </si>
  <si>
    <t>ДП VIENTO.Ручка-Захват</t>
  </si>
  <si>
    <t>ДП VIENTO.Ручка-Замок</t>
  </si>
  <si>
    <t>РС ECO-SLIDE.Без планки замка</t>
  </si>
  <si>
    <t>РС ECO-SLIDE.С планкой замка</t>
  </si>
  <si>
    <t>ДП TANGO.</t>
  </si>
  <si>
    <t>ДП TANGO.ВП</t>
  </si>
  <si>
    <t>ДП MILANO.</t>
  </si>
  <si>
    <t>ДП MILANO.ВП</t>
  </si>
  <si>
    <t>ДП LIANO.</t>
  </si>
  <si>
    <t>ДП LIANO.ВП</t>
  </si>
  <si>
    <t>ДП BERGAMO.</t>
  </si>
  <si>
    <t>ДП BERGAMO.ВП</t>
  </si>
  <si>
    <t>ДП GRANDE.</t>
  </si>
  <si>
    <t>ДП GRANDE.ВП</t>
  </si>
  <si>
    <t>ДП PIANO.</t>
  </si>
  <si>
    <t>ДП PIANO.ВП</t>
  </si>
  <si>
    <t>ДП VIENTO.</t>
  </si>
  <si>
    <t>ДП VIENTO.ВП</t>
  </si>
  <si>
    <t>ДП TANGO.100</t>
  </si>
  <si>
    <t>ДП MILANO.100</t>
  </si>
  <si>
    <t>ДП LIANO.100</t>
  </si>
  <si>
    <t>ДП BERGAMO.100</t>
  </si>
  <si>
    <t>ДП GRANDE.100</t>
  </si>
  <si>
    <t>ДП PIANO.100</t>
  </si>
  <si>
    <t>ДП VIENTO.100</t>
  </si>
  <si>
    <t>ФР ECO-FIT.стандарт</t>
  </si>
  <si>
    <t>Планка ECO-FIT 80мм.60</t>
  </si>
  <si>
    <t>Планка ECO-FIT 80мм.70</t>
  </si>
  <si>
    <t>Планка ECO-FIT 80мм.80</t>
  </si>
  <si>
    <t>Планка ECO-FIT 80мм.90</t>
  </si>
  <si>
    <t>Планка ECO-FIT 80мм.100</t>
  </si>
  <si>
    <t>Планка ECO-FIT 80мм.(100)</t>
  </si>
  <si>
    <t>Планка ECO-FIT 80мм.(110)</t>
  </si>
  <si>
    <t>Планка ECO-FIT 80мм.(120)</t>
  </si>
  <si>
    <t>Планка ECO-FIT 80мм.(130)</t>
  </si>
  <si>
    <t>Планка ECO-FIT 80мм.(140)</t>
  </si>
  <si>
    <t>Планка ECO-FIT 80мм.(150)</t>
  </si>
  <si>
    <t>Планка ECO-FIT 80мм.(160)</t>
  </si>
  <si>
    <t>Планка ECO-FIT 80мм.(170)</t>
  </si>
  <si>
    <t>Планка ECO-FIT 80мм.(180)</t>
  </si>
  <si>
    <t>Планка ECO-FIT 160мм.60</t>
  </si>
  <si>
    <t>Планка ECO-FIT 160мм.70</t>
  </si>
  <si>
    <t>Планка ECO-FIT 160мм.80</t>
  </si>
  <si>
    <t>Планка ECO-FIT 160мм.90</t>
  </si>
  <si>
    <t>Планка ECO-FIT 160мм.100</t>
  </si>
  <si>
    <t>Планка ECO-FIT 160мм.(100)</t>
  </si>
  <si>
    <t>Планка ECO-FIT 160мм.(110)</t>
  </si>
  <si>
    <t>Планка ECO-FIT 160мм.(120)</t>
  </si>
  <si>
    <t>Планка ECO-FIT 160мм.(130)</t>
  </si>
  <si>
    <t>Планка ECO-FIT 160мм.(140)</t>
  </si>
  <si>
    <t>Планка ECO-FIT 160мм.(150)</t>
  </si>
  <si>
    <t>Планка ECO-FIT 160мм.(160)</t>
  </si>
  <si>
    <t>Планка ECO-FIT 160мм.(170)</t>
  </si>
  <si>
    <t>Планка ECO-FIT 160мм.(180)</t>
  </si>
  <si>
    <t>Планка ECO-FIT 200мм.60</t>
  </si>
  <si>
    <t>Планка ECO-FIT 200мм.70</t>
  </si>
  <si>
    <t>Планка ECO-FIT 200мм.80</t>
  </si>
  <si>
    <t>Планка ECO-FIT 200мм.90</t>
  </si>
  <si>
    <t>Планка ECO-FIT 200мм.100</t>
  </si>
  <si>
    <t>Планка ECO-FIT 200мм.(100)</t>
  </si>
  <si>
    <t>Планка ECO-FIT 200мм.(110)</t>
  </si>
  <si>
    <t>Планка ECO-FIT 200мм.(120)</t>
  </si>
  <si>
    <t>Планка ECO-FIT 200мм.(130)</t>
  </si>
  <si>
    <t>Планка ECO-FIT 200мм.(140)</t>
  </si>
  <si>
    <t>Планка ECO-FIT 200мм.(150)</t>
  </si>
  <si>
    <t>Планка ECO-FIT 200мм.(160)</t>
  </si>
  <si>
    <t>Планка ECO-FIT 200мм.(170)</t>
  </si>
  <si>
    <t>Планка ECO-FIT 200мм.(180)</t>
  </si>
  <si>
    <t>122 Сосна аз.</t>
  </si>
  <si>
    <t>Ручка HANDY (золото)</t>
  </si>
  <si>
    <t>Ручка дверна HANDY золото</t>
  </si>
  <si>
    <t>Ручка дверна HANDY срібло</t>
  </si>
  <si>
    <t>до</t>
  </si>
  <si>
    <t>Eco</t>
  </si>
  <si>
    <t>Замок Standard цл (прав.) (хром)</t>
  </si>
  <si>
    <t>Замок Standard кл (прав.) (хром)</t>
  </si>
  <si>
    <t>Замок Standard ст (прав.) (хром)</t>
  </si>
  <si>
    <t>Замок Standard кл (прав.)(хром)</t>
  </si>
  <si>
    <t>дверне полотно: ECO-Tango</t>
  </si>
  <si>
    <t>дверне полотно: ECO-Milano</t>
  </si>
  <si>
    <t>дверне полотно: ECO-Liano</t>
  </si>
  <si>
    <t>дверне полотно: ECO-Bergamo</t>
  </si>
  <si>
    <t>дверне полотно: ECO-Grande</t>
  </si>
  <si>
    <t>дверне полотно: ECO-Piano</t>
  </si>
  <si>
    <t>дверне полотно: ECO-Viento</t>
  </si>
  <si>
    <t>дверна коробка: STANDARD МДФ (на ширину 80мм)</t>
  </si>
  <si>
    <t>дверна коробка: Verto-FIT (на ширину 75-95мм)</t>
  </si>
  <si>
    <t>дверна коробка: Verto-FIT (на ширину 95-115мм)</t>
  </si>
  <si>
    <t>дверна коробка: Verto-FIT (на ширину 100-120мм)</t>
  </si>
  <si>
    <t>дверна коробка: Verto-FIT (на ширину 120-140мм)</t>
  </si>
  <si>
    <t>дверна коробка: Verto-FIT (на ширину 140-160мм)</t>
  </si>
  <si>
    <t>дверна коробка: Verto-FIT (на ширину 160-180мм)</t>
  </si>
  <si>
    <t>дверна коробка: Verto-FIT (на ширину 180-200мм)</t>
  </si>
  <si>
    <t>дверна коробка: Verto-FIT (на ширину 200-220мм)</t>
  </si>
  <si>
    <t>дверна коробка: Verto-FIT (на ширину 220-240мм)</t>
  </si>
  <si>
    <t>дверна коробка: Verto-FIT (на ширину 240-260мм)</t>
  </si>
  <si>
    <t>Ручка дверна VERONA (золото)</t>
  </si>
  <si>
    <t>Ручка дверна MILANO (золото)</t>
  </si>
  <si>
    <t>Ручка дверна HANDY (золото)</t>
  </si>
  <si>
    <t>Ручка дверна OFFICE (золото)</t>
  </si>
  <si>
    <t>Розсувна система: Verto-SLIDE</t>
  </si>
  <si>
    <t>Лиштва (пряма): 60мм (МДФ)</t>
  </si>
  <si>
    <t>добірна планка: 60 мм (МДФ)</t>
  </si>
  <si>
    <t>добірна планка: 110 мм (МДФ)</t>
  </si>
  <si>
    <t>добірна планка: 200 мм (МДФ)</t>
  </si>
  <si>
    <t xml:space="preserve"> Регулювальна планка: 80мм (МДФ)</t>
  </si>
  <si>
    <t xml:space="preserve"> Регулювальна планка: 160мм (МДФ)</t>
  </si>
  <si>
    <t xml:space="preserve"> Регулювальна планка: 200мм (МДФ)</t>
  </si>
  <si>
    <t>завіса полушарнирная (хром)</t>
  </si>
  <si>
    <t>Накладка на завіси (золото)</t>
  </si>
  <si>
    <t>Ручка дверна HANDY (срібло)</t>
  </si>
  <si>
    <t>Ручка дверна PRIUS (срібло)</t>
  </si>
  <si>
    <t>Ручка дверна VERONA (срібло матове)</t>
  </si>
  <si>
    <t>Ручка дверна MILANO (срібло матове)</t>
  </si>
  <si>
    <t>Ручка дверна PRIUS (срібло матове)</t>
  </si>
  <si>
    <t>Ручка дверна OFFICE (срібло матове)</t>
  </si>
  <si>
    <t>Накладка на завіси (золото матове)</t>
  </si>
  <si>
    <t>Накладка на завіси (срібло матове)</t>
  </si>
  <si>
    <t>Відповідна Планка Замка (хром)</t>
  </si>
  <si>
    <t>циліндр (вкладиш-патент)</t>
  </si>
  <si>
    <t>розмір(мм): 2070*670</t>
  </si>
  <si>
    <t>розмір(мм): 2070*770</t>
  </si>
  <si>
    <t>розмір(мм): 2070*870</t>
  </si>
  <si>
    <t>розмір(мм): 2070*970</t>
  </si>
  <si>
    <t>розмір(мм): 2070*1070</t>
  </si>
  <si>
    <t>розмір(мм): 2050*626</t>
  </si>
  <si>
    <t>розмір(мм): 2050*726</t>
  </si>
  <si>
    <t>розмір(мм): 2050*826</t>
  </si>
  <si>
    <t>розмір(мм): 2050*926</t>
  </si>
  <si>
    <t>розмір(мм): 2050*1026</t>
  </si>
  <si>
    <t>розмір(мм): 2130*1460</t>
  </si>
  <si>
    <t>розмір(мм): 2130*1660</t>
  </si>
  <si>
    <t>розмір(мм): 2130*1860</t>
  </si>
  <si>
    <t>розмір(мм): 2130*2060</t>
  </si>
  <si>
    <t xml:space="preserve">розмір(мм): </t>
  </si>
  <si>
    <t>розмір(мм): 2220*1100</t>
  </si>
  <si>
    <t>розмір(мм): 2070*1030</t>
  </si>
  <si>
    <t>розмір(мм): 2050</t>
  </si>
  <si>
    <t>розмір (мм): 2040*626 з фальцем (робоче полотно)</t>
  </si>
  <si>
    <t>розмір (мм): 2040*726 з фальцем (робоче полотно)</t>
  </si>
  <si>
    <t>розмір (мм): 2040*826 з фальцем (робоче полотно)</t>
  </si>
  <si>
    <t>розмір (мм): 2040*926 з фальцем (робоче полотно)</t>
  </si>
  <si>
    <t>розмір (мм): 2040*1026 з фальцем (робоче полотно)</t>
  </si>
  <si>
    <t>розмір (мм): 2040*626 з фальцем (неробоче полотно)</t>
  </si>
  <si>
    <t>розмір (мм): 2040*726 з фальцем (неробоче полотно)</t>
  </si>
  <si>
    <t>розмір (мм): 2040*826 з фальцем (неробоче полотно)</t>
  </si>
  <si>
    <t>розмір (мм): 2040*926 з фальцем (неробоче полотно)</t>
  </si>
  <si>
    <t>розмір (мм): 2040*1026 з фальцем (неробоче полотно)</t>
  </si>
  <si>
    <t>розмір (мм): 2040*626 без фальця (двері-купе)</t>
  </si>
  <si>
    <t>розмір (мм): 2040*726 без фальця (двері-купе)</t>
  </si>
  <si>
    <t>розмір (мм): 2040*826 без фальця (двері-купе)</t>
  </si>
  <si>
    <t>розмір (мм): 2040*926 без фальця (двері-купе)</t>
  </si>
  <si>
    <t>розмір (мм): 2040*1026 без фальця (двері-купе)</t>
  </si>
  <si>
    <t>розмір(мм): 2050*626 тунель</t>
  </si>
  <si>
    <t>розмір(мм): 2050*726 тунель</t>
  </si>
  <si>
    <t>розмір(мм): 2050*826 тунель</t>
  </si>
  <si>
    <t>розмір(мм): 2050*926 тунель</t>
  </si>
  <si>
    <t>розмір(мм): 2050*1026 тунель</t>
  </si>
  <si>
    <t>колір: дуб британський (верто-ціл)</t>
  </si>
  <si>
    <t>колір: дуб вибілений (верто-ціл плюс)</t>
  </si>
  <si>
    <t>колір: дуб ретро (верто-ціл плюс)</t>
  </si>
  <si>
    <t>колір: дуб невада (верто-ціл плюс)</t>
  </si>
  <si>
    <t>колір: дуб ірландський (верто-ціл плюс)</t>
  </si>
  <si>
    <t>колір: сосна азіатська (верто-ціл плюс)</t>
  </si>
  <si>
    <t>колір: відсутній</t>
  </si>
  <si>
    <t>скло: сатин</t>
  </si>
  <si>
    <t>скло: відсутнє</t>
  </si>
  <si>
    <t>фурн: ручка-захоплення + паз внизу полотна під напрямну + вент.відд</t>
  </si>
  <si>
    <t>фурн: ручка-замок + паз знизу полотна під напрямну</t>
  </si>
  <si>
    <t>фурн: ручка-захват + паз знизу полотна під напрямну</t>
  </si>
  <si>
    <t>фурн: ручка-замок + паз знизу полотна під напрямну + вент.відд</t>
  </si>
  <si>
    <t>фурн: установка ущільнювача, без врізання та встановлення фурнітури (завіси та відповідна планка )</t>
  </si>
  <si>
    <t>фурн: 6 завіс (3 на кожній стійкій) + ущільнювач</t>
  </si>
  <si>
    <t>фурн: механізм (ролики, напрямний елемент) + декоративна накладка + відбійний елемент</t>
  </si>
  <si>
    <t>фурн: відп. планка замка + механізм (ролики, напрямний елемент) + декоративна накладка + відбійний елемент</t>
  </si>
  <si>
    <t>завіса: ліва</t>
  </si>
  <si>
    <t>завіса: права</t>
  </si>
  <si>
    <t>завіса: відсутня</t>
  </si>
  <si>
    <t>Замок Standard під циліндр (хром) лівий</t>
  </si>
  <si>
    <t>Замок Standard під ключ (хром) лівий</t>
  </si>
  <si>
    <t>Замок Standard сантехнический (хром) лівий</t>
  </si>
  <si>
    <t>Замок Standard під циліндр (хром) правий</t>
  </si>
  <si>
    <t>Замок Standard під ключ (хром) правий</t>
  </si>
  <si>
    <t>Замок Standard сантехнический (хром) правий</t>
  </si>
  <si>
    <t>Замок Standard цл лев</t>
  </si>
  <si>
    <t>Замок Standard кл лев</t>
  </si>
  <si>
    <t>Замок Standard ст лев</t>
  </si>
  <si>
    <t>Замок Standard цл прав</t>
  </si>
  <si>
    <t>Замок Standard кл прав</t>
  </si>
  <si>
    <t>Замок Standard ст прав</t>
  </si>
  <si>
    <t>серія</t>
  </si>
  <si>
    <t xml:space="preserve">
викон.</t>
  </si>
  <si>
    <t xml:space="preserve">
колір</t>
  </si>
  <si>
    <t>заповн.</t>
  </si>
  <si>
    <t>скло</t>
  </si>
  <si>
    <t>фурнітура</t>
  </si>
  <si>
    <t>вент.від</t>
  </si>
  <si>
    <t>завіса</t>
  </si>
  <si>
    <t>лиштва</t>
  </si>
  <si>
    <t>кіл.</t>
  </si>
  <si>
    <t xml:space="preserve">
Примітка</t>
  </si>
  <si>
    <t>сума</t>
  </si>
  <si>
    <t>ЗВІРКА</t>
  </si>
  <si>
    <t>вис.мм</t>
  </si>
  <si>
    <t>колір</t>
  </si>
  <si>
    <t>вироби</t>
  </si>
  <si>
    <t>розмір</t>
  </si>
  <si>
    <t>Розділ № 1: ДВЕРНІ БЛОКИ (тільки 1 стулкові)</t>
  </si>
  <si>
    <t>Розділ № 2: ДВЕРНІ ПОЛОТНА</t>
  </si>
  <si>
    <t>Розділ № 3: ДВЕРНІ КОРОБКИ / РОЗСУВНІ СИСТЕМИ</t>
  </si>
  <si>
    <t>Розділ № 4: ФРАМУГИ</t>
  </si>
  <si>
    <t>Розділ № 5:ЛИШТВА / ДОБРІ ПЛАНКИ / ІНШІ АКСЕСУАРИ</t>
  </si>
  <si>
    <t>ІНШІ АКСЕСУАРИ</t>
  </si>
  <si>
    <t>ЗАЯВКА НА ПОСТАЧАННЯ ТОВАРУ</t>
  </si>
  <si>
    <t>Клієнт:</t>
  </si>
  <si>
    <t>Контактна особа</t>
  </si>
  <si>
    <t>Розрахунок ПДВ</t>
  </si>
  <si>
    <t>Курс валюти:</t>
  </si>
  <si>
    <t xml:space="preserve">
∑ знижки:</t>
  </si>
  <si>
    <t>∑ роздріб:</t>
  </si>
  <si>
    <t>% знижка:</t>
  </si>
  <si>
    <t>∑ відпускна:</t>
  </si>
  <si>
    <t>Лиштва пряма 60мм</t>
  </si>
  <si>
    <t>Лиштва пряма 60мм.100</t>
  </si>
  <si>
    <t>Лиштва пряма 60мм.200</t>
  </si>
  <si>
    <t>Лиштва пряма 60мм.ECO-CELL</t>
  </si>
  <si>
    <t>Добірна планка 60мм</t>
  </si>
  <si>
    <t>Добірна планка 110мм</t>
  </si>
  <si>
    <t>Добірна планка 200мм</t>
  </si>
  <si>
    <t>Добірна планка 60мм.100</t>
  </si>
  <si>
    <t>Добірна планка 60мм.200</t>
  </si>
  <si>
    <t>Добірна планка 110мм.100</t>
  </si>
  <si>
    <t>Добірна планка 110мм.200</t>
  </si>
  <si>
    <t>Добірна планка 200мм.100</t>
  </si>
  <si>
    <t>Добірна планка 200мм.200</t>
  </si>
  <si>
    <t>Добірна планка 60мм.ECO-CELL</t>
  </si>
  <si>
    <t>Добірна планка 110мм.ECO-CELL</t>
  </si>
  <si>
    <t>Добірна планка 200мм.ECO-CELL</t>
  </si>
  <si>
    <t>Плінтус М060</t>
  </si>
  <si>
    <t>Плінтус М080</t>
  </si>
  <si>
    <t>Завіса напівшарнірна (хром)</t>
  </si>
  <si>
    <t>Ручка HANDY (срібло)</t>
  </si>
  <si>
    <t>Ручка PRIUS (срібло)</t>
  </si>
  <si>
    <t>Ручка VERONA (срібло матове)</t>
  </si>
  <si>
    <t>Ручка MILANO (срібло матове)</t>
  </si>
  <si>
    <t>Ручка PRIUS (срібло матове)</t>
  </si>
  <si>
    <t>Ручка OFFICE (срібло матове)</t>
  </si>
  <si>
    <t>Замок Standard цл (лів.) (хром)</t>
  </si>
  <si>
    <t>Замок Standard кл (лів.) (хром)</t>
  </si>
  <si>
    <t>Замок Standard ст (лів.) (хром)</t>
  </si>
  <si>
    <t>Відповідна планка Замка (хром)</t>
  </si>
  <si>
    <t>Шпінгалет (хром)</t>
  </si>
  <si>
    <t>Циліндр (вкладиш)</t>
  </si>
  <si>
    <t>Поріг дерев'яний (лак) - одностулковий</t>
  </si>
  <si>
    <t>Виставковий стенд60</t>
  </si>
  <si>
    <t>Виставковий стенд70</t>
  </si>
  <si>
    <t>Виставковий стенд80</t>
  </si>
  <si>
    <t>Виставковий стенд90</t>
  </si>
  <si>
    <t>Виставковий стенд100</t>
  </si>
  <si>
    <t>Виставковий стенд(100)</t>
  </si>
  <si>
    <t>Виставковий стенд(110)</t>
  </si>
  <si>
    <t>Виставковий стенд(120)</t>
  </si>
  <si>
    <t>Виставковий стенд(130)</t>
  </si>
  <si>
    <t>Виставковий стенд(140)</t>
  </si>
  <si>
    <t>Виставковий стенд(150)</t>
  </si>
  <si>
    <t>Виставковий стенд(160)</t>
  </si>
  <si>
    <t>Виставковий стенд(170)</t>
  </si>
  <si>
    <t>Виставковий стенд(180)</t>
  </si>
  <si>
    <t>ИСПОЛНЕНИЕ/розмір</t>
  </si>
  <si>
    <t>розміры ДП-КД</t>
  </si>
  <si>
    <t>розміры КД-НАЛ</t>
  </si>
  <si>
    <t>Виставковий  стенд ТМ ВЕРТО 80 мм (ДСП), розмір(мм): 2400*1020 (для дверних коробок "60"), колір: білий (обклеєний обоями)</t>
  </si>
  <si>
    <t>Виставковий  стенд ТМ ВЕРТО 80 мм (ДСП), розмір(мм): 2400*1120 (для дверних коробок "70"), колір: білий (обклеєний обоями)</t>
  </si>
  <si>
    <t>Виставковий  стенд ТМ ВЕРТО 80 мм (ДСП), розмір(мм): 2400*1220 (для дверних коробок "80"), колір: білий (обклеєний обоями)</t>
  </si>
  <si>
    <t>Виставковий  стенд ТМ ВЕРТО 80 мм (ДСП), розмір(мм): 2400*1320 (для дверних коробок "90"), колір: білий (обклеєний обоями)</t>
  </si>
  <si>
    <t>Виставковий  стенд ТМ ВЕРТО 80 мм (ДСП), розмір(мм): 2400*1420 (для дверних коробок "100"), колір: білий (обклеєний обоями)</t>
  </si>
  <si>
    <t>118 Дуб вибіл..</t>
  </si>
  <si>
    <t>121 Дуб ірланд.</t>
  </si>
  <si>
    <t>(ні)</t>
  </si>
  <si>
    <t>ДП TANGO.1.(ні)</t>
  </si>
  <si>
    <t>ДП TANGO.(ні)</t>
  </si>
  <si>
    <t>(ні).</t>
  </si>
  <si>
    <t>(ні).(ні)</t>
  </si>
  <si>
    <t>(ні).ВП</t>
  </si>
  <si>
    <t>ДП MILANO.(ні)</t>
  </si>
  <si>
    <t>ДП MILANO.1.(ні)</t>
  </si>
  <si>
    <t>ДП LIANO.(ні)</t>
  </si>
  <si>
    <t>ДП BERGAMO.(ні)</t>
  </si>
  <si>
    <t>Без планки замка.(ні)</t>
  </si>
  <si>
    <t>С планкой замка.(ні)</t>
  </si>
  <si>
    <t>ДП LIANO.1.(ні)</t>
  </si>
  <si>
    <t>ДП GRANDE.(ні)</t>
  </si>
  <si>
    <t>ДП BERGAMO.1.(ні)</t>
  </si>
  <si>
    <t>ДП PIANO.(ні)</t>
  </si>
  <si>
    <t>ДП GRANDE.1.(ні)</t>
  </si>
  <si>
    <t>ДП VIENTO.(ні)</t>
  </si>
  <si>
    <t>ДП PIANO.1.(ні)</t>
  </si>
  <si>
    <t>КД Classic.(ні)</t>
  </si>
  <si>
    <t>КД ECO-FIT.(ні)</t>
  </si>
  <si>
    <t>ДП VIENTO.1.(ні)</t>
  </si>
  <si>
    <t>Фільонка</t>
  </si>
  <si>
    <t>ФР ECO-FIT.Фільонка</t>
  </si>
  <si>
    <t>ВВ</t>
  </si>
  <si>
    <t>ДП TANGO.ВВ</t>
  </si>
  <si>
    <t>(ні).ВВ</t>
  </si>
  <si>
    <t>ДП MILANO.ВВ</t>
  </si>
  <si>
    <t>ДП LIANO.ВВ</t>
  </si>
  <si>
    <t>ДП BERGAMO.ВВ</t>
  </si>
  <si>
    <t>ДП GRANDE.ВВ</t>
  </si>
  <si>
    <t>ДП PIANO.ВВ</t>
  </si>
  <si>
    <t>Ручка-Захват.ВВ</t>
  </si>
  <si>
    <t>розмір(мм): 2070*1083 (дВВстулкова)</t>
  </si>
  <si>
    <t>Ручка-Замок.ВВ</t>
  </si>
  <si>
    <t>розмір(мм): 2070*1183 (дВВстулкова)</t>
  </si>
  <si>
    <t>розмір(мм): 2070*1283 (дВВстулкова)</t>
  </si>
  <si>
    <t>розмір(мм): 2070*1383 (дВВстулкова)</t>
  </si>
  <si>
    <t>розмір(мм): 2070*1483 (дВВстулкова)</t>
  </si>
  <si>
    <t>ДП VIENTO.ВВ</t>
  </si>
  <si>
    <t>розмір(мм): 2070*1583 (дВВстулкова)</t>
  </si>
  <si>
    <t>розмір(мм): 2070*1683 (дВВстулкова)</t>
  </si>
  <si>
    <t>розмір(мм): 2070*1783 (дВВстулкова)</t>
  </si>
  <si>
    <t>розмір(мм): 2070*1883 (дВВстулкова)</t>
  </si>
  <si>
    <t>розмір(мм): 2050*1040 (дВВстулкова)</t>
  </si>
  <si>
    <t>розмір(мм): 2050*1140 (дВВстулкова)</t>
  </si>
  <si>
    <t>розмір(мм): 2050*1240 (дВВстулкова)</t>
  </si>
  <si>
    <t>розмір(мм): 2050*1340 (дВВстулкова)</t>
  </si>
  <si>
    <t>розмір(мм): 2050*1440 (дВВстулкова)</t>
  </si>
  <si>
    <t>розмір(мм): 2050*1540 (дВВстулкова)</t>
  </si>
  <si>
    <t>розмір(мм): 2050*1640 (дВВстулкова)</t>
  </si>
  <si>
    <t>розмір(мм): 2050*1740 (дВВстулкова)</t>
  </si>
  <si>
    <t>розмір(мм): 2050*1840 (дВВстулкова)</t>
  </si>
  <si>
    <t>розмір(мм): 2050*1040 тунель (дВВстулкова)</t>
  </si>
  <si>
    <t>розмір(мм): 2050*1140 тунель (дВВстулкова)</t>
  </si>
  <si>
    <t>розмір(мм): 2050*1240 тунель (дВВстулкова)</t>
  </si>
  <si>
    <t>розмір(мм): 2050*1340 тунель (дВВстулкова)</t>
  </si>
  <si>
    <t>розмір(мм): 2050*1440 тунель (дВВстулкова)</t>
  </si>
  <si>
    <t>розмір(мм): 2050*1540 тунель (дВВстулкова)</t>
  </si>
  <si>
    <t>розмір(мм): 2050*1640 тунель (дВВстулкова)</t>
  </si>
  <si>
    <t>розмір(мм): 2050*1740 тунель (дВВстулкова)</t>
  </si>
  <si>
    <t>розмір(мм): 2050*1840 тунель (дВВстулкова)</t>
  </si>
  <si>
    <t>розмір(мм): 2220*2200 (дВВстулковий)</t>
  </si>
  <si>
    <t>розмір(мм): 2070*2070 (дВВстулкова)</t>
  </si>
  <si>
    <t>Шпінгалет для дВВстулкових полотен (хром)</t>
  </si>
  <si>
    <t>Виставковий  стенд ТМ ВЕРТО 80 мм (ДСП), розмір(мм): 2400*1450 (для дверних коробок "100" дВВстулкових), колір: білий (обклеєний обоями)</t>
  </si>
  <si>
    <t>Виставковий  стенд ТМ ВЕРТО 80 мм (ДСП), розмір(мм): 2400*1550 (для дверних коробок "110" дВВстулкових), колір: білий (обклеєний обоями)</t>
  </si>
  <si>
    <t>Виставковий  стенд ТМ ВЕРТО 80 мм (ДСП), розмір(мм): 2400*1650 (для дверних коробок "120" дВВстулкових), колір: білий (обклеєний обоями)</t>
  </si>
  <si>
    <t>Виставковий  стенд ТМ ВЕРТО 80 мм (ДСП), розмір(мм): 2400*1750 (для дверних коробок "130" дВВстулкових), колір: білий (обклеєний обоями)</t>
  </si>
  <si>
    <t>Виставковий  стенд ТМ ВЕРТО 80 мм (ДСП), розмір(мм): 2400*1850 (для дверних коробок "140" дВВстулкових), колір: білий (обклеєний обоями)</t>
  </si>
  <si>
    <t>Виставковий  стенд ТМ ВЕРТО 80 мм (ДСП), розмір(мм): 2400*1950 (для дверних коробок "150" дВВстулкових), колір: білий (обклеєний обоями)</t>
  </si>
  <si>
    <t>Виставковий  стенд ТМ ВЕРТО 80 мм (ДСП), розмір(мм): 2400*2050 (для дверних коробок "160" дВВстулкових), колір: білий (обклеєний обоями)</t>
  </si>
  <si>
    <t>Виставковий  стенд ТМ ВЕРТО 80 мм (ДСП), розмір(мм): 2400*2150 (для дверних коробок "170" дВВстулкових), колір: білий (обклеєний обоями)</t>
  </si>
  <si>
    <t>Виставковий  стенд ТМ ВЕРТО 80 мм (ДСП), розмір(мм): 2400*2250 (для дверних коробок "180" дВВстулкових), колір: білий (обклеєний обоями)</t>
  </si>
  <si>
    <t>фурн: без замку та завіс</t>
  </si>
  <si>
    <t>фурн: без замка та завіс + вент.відд</t>
  </si>
  <si>
    <t>фурн: без замка та завіс + вент.підріз</t>
  </si>
  <si>
    <t>6 завіс (3+3)</t>
  </si>
  <si>
    <t>6 завіс (3+3).(ні)</t>
  </si>
  <si>
    <t>КД Classic.6 завіс (3+3)</t>
  </si>
  <si>
    <t>КД ECO-FIT.6 завіс (3+3)</t>
  </si>
  <si>
    <t>фурн: відп. планка замка Standard + 3 завіси + 2 Шпінгалети</t>
  </si>
  <si>
    <t>фурн:  відп. планка замка Standard + 3 завіси + 2 Шпінгалети + вент.отд</t>
  </si>
  <si>
    <t>фурн: відп. планка замка Standard + 3 завіси + 2 Шпінгалети + вент.підріз</t>
  </si>
  <si>
    <t>фальц.робоча.60</t>
  </si>
  <si>
    <t>робоча</t>
  </si>
  <si>
    <t>ДП TANGO.фальц.робоча</t>
  </si>
  <si>
    <t>фальц.робоча.70</t>
  </si>
  <si>
    <t>неробоча</t>
  </si>
  <si>
    <t>фальц.робоча.80</t>
  </si>
  <si>
    <t>ДП TANGO.фальц.неробоча</t>
  </si>
  <si>
    <t>фальц.робоча.90</t>
  </si>
  <si>
    <t>ДП TANGO.купе.робоча</t>
  </si>
  <si>
    <t>фальц.робоча.100</t>
  </si>
  <si>
    <t>фальц.неробоча.60</t>
  </si>
  <si>
    <t>фальц.неробоча.70</t>
  </si>
  <si>
    <t>фальц.неробоча.80</t>
  </si>
  <si>
    <t>фальц.неробоча.90</t>
  </si>
  <si>
    <t>фальц.неробоча.100</t>
  </si>
  <si>
    <t>купе.робоча.60</t>
  </si>
  <si>
    <t>купе.робоча.70</t>
  </si>
  <si>
    <t>купе.робоча.80</t>
  </si>
  <si>
    <t>купе.робоча.90</t>
  </si>
  <si>
    <t>купе.робоча.100</t>
  </si>
  <si>
    <t>ДП MILANO.фальц.робоча</t>
  </si>
  <si>
    <t>ДП MILANO.фальц.неробоча</t>
  </si>
  <si>
    <t>ДП MILANO.купе.робоча</t>
  </si>
  <si>
    <t>ДП LIANO.фальц.робоча</t>
  </si>
  <si>
    <t>ДП LIANO.фальц.неробоча</t>
  </si>
  <si>
    <t>ДП LIANO.купе.робоча</t>
  </si>
  <si>
    <t>ДП BERGAMO.фальц.робоча</t>
  </si>
  <si>
    <t>ДП BERGAMO.фальц.неробоча</t>
  </si>
  <si>
    <t>ДП BERGAMO.купе.робоча</t>
  </si>
  <si>
    <t>ДП GRANDE.фальц.робоча</t>
  </si>
  <si>
    <t>ДП GRANDE.фальц.неробоча</t>
  </si>
  <si>
    <t>ДП GRANDE.купе.робоча</t>
  </si>
  <si>
    <t>ДП PIANO.фальц.робоча</t>
  </si>
  <si>
    <t>ДП PIANO.фальц.неробоча</t>
  </si>
  <si>
    <t>ДП PIANO.купе.робоча</t>
  </si>
  <si>
    <t>ДП VIENTO.фальц.робоча</t>
  </si>
  <si>
    <t>ДП VIENTO.фальц.неробоча</t>
  </si>
  <si>
    <t>ДП VIENTO.купе.робоча</t>
  </si>
  <si>
    <t>КД Classic.1.ECO-CELL.1-стулков</t>
  </si>
  <si>
    <t>КД Classic.1.ECO-CELL.2-стулков</t>
  </si>
  <si>
    <t>КД ECO-FIT.A.ECO-CELL.1-стулков</t>
  </si>
  <si>
    <t>КД ECO-FIT.A.ECO-CELL.2-стулков</t>
  </si>
  <si>
    <t>1-стулков</t>
  </si>
  <si>
    <t>КД ECO-FIT.B.ECO-CELL.1-стулков</t>
  </si>
  <si>
    <t>2-стулков</t>
  </si>
  <si>
    <t>КД ECO-FIT.B.ECO-CELL.2-стулков</t>
  </si>
  <si>
    <t>КД ECO-FIT.B+.ECO-CELL.1-стулков</t>
  </si>
  <si>
    <t>КД ECO-FIT.B+.ECO-CELL.2-стулков</t>
  </si>
  <si>
    <t>1-стулков.</t>
  </si>
  <si>
    <t>КД ECO-FIT.C.ECO-CELL.1-стулков</t>
  </si>
  <si>
    <t>КД ECO-FIT.C.ECO-CELL.2-стулков</t>
  </si>
  <si>
    <t>КД ECO-FIT.D.ECO-CELL.1-стулков</t>
  </si>
  <si>
    <t>КД ECO-FIT.D.ECO-CELL.2-стулков</t>
  </si>
  <si>
    <t>КД Classic.стандарт.1-стулков.60</t>
  </si>
  <si>
    <t>КД ECO-FIT.E.ECO-CELL.1-стулков</t>
  </si>
  <si>
    <t>КД Classic.стандарт.1-стулков.70</t>
  </si>
  <si>
    <t>1-стулков,</t>
  </si>
  <si>
    <t>КД ECO-FIT.E.ECO-CELL.2-стулков</t>
  </si>
  <si>
    <t>КД Classic.стандарт.1-стулков.80</t>
  </si>
  <si>
    <t>2-стулков,</t>
  </si>
  <si>
    <t>КД Classic.стандарт.1-стулков.90</t>
  </si>
  <si>
    <t>КД ECO-FIT.F.ECO-CELL.1-стулков</t>
  </si>
  <si>
    <t>КД Classic.стандарт.1-стулков.100</t>
  </si>
  <si>
    <t>КД ECO-FIT.F.ECO-CELL.2-стулков</t>
  </si>
  <si>
    <t>КД Classic.стандарт.2-стулков.(100)</t>
  </si>
  <si>
    <t>КД Classic.стандарт.2-стулков.(110)</t>
  </si>
  <si>
    <t>КД ECO-FIT.G.ECO-CELL.1-стулков</t>
  </si>
  <si>
    <t>КД Classic.стандарт.2-стулков.(120)</t>
  </si>
  <si>
    <t>КД ECO-FIT.G.ECO-CELL.2-стулков</t>
  </si>
  <si>
    <t>КД Classic.стандарт.2-стулков.(130)</t>
  </si>
  <si>
    <t>КД Classic.стандарт.2-стулков.(140)</t>
  </si>
  <si>
    <t>КД ECO-FIT.H.ECO-CELL.1-стулков</t>
  </si>
  <si>
    <t>КД Classic.стандарт.2-стулков.(150)</t>
  </si>
  <si>
    <t>КД ECO-FIT.H.ECO-CELL.2-стулков</t>
  </si>
  <si>
    <t>КД Classic.стандарт.2-стулков.(160)</t>
  </si>
  <si>
    <t>КД Classic.стандарт.2-стулков.(170)</t>
  </si>
  <si>
    <t>КД ECO-FIT.I.ECO-CELL.1-стулков</t>
  </si>
  <si>
    <t>КД Classic.стандарт.2-стулков.(180)</t>
  </si>
  <si>
    <t>КД ECO-FIT.I.ECO-CELL.2-стулков</t>
  </si>
  <si>
    <t>КД ECO-FIT.стандарт.1-стулков.60</t>
  </si>
  <si>
    <t>КД ECO-FIT.стандарт.1-стулков.70</t>
  </si>
  <si>
    <t>РС ECO-SLIDE.1.ECO-CELL.1-стулков.</t>
  </si>
  <si>
    <t>КД ECO-FIT.стандарт.1-стулков.80</t>
  </si>
  <si>
    <t>КД ECO-FIT.стандарт.1-стулков.90</t>
  </si>
  <si>
    <t>КД ECO-FIT.стандарт.1-стулков.100</t>
  </si>
  <si>
    <t>Лиштва пряма 60мм.ECO-CELL.1-стулков,</t>
  </si>
  <si>
    <t>КД ECO-FIT.стандарт.2-стулков.(100)</t>
  </si>
  <si>
    <t>КД ECO-FIT.стандарт.2-стулков.(110)</t>
  </si>
  <si>
    <t>КД ECO-FIT.стандарт.2-стулков.(120)</t>
  </si>
  <si>
    <t>1-стулков..</t>
  </si>
  <si>
    <t>КД ECO-FIT.стандарт.2-стулков.(130)</t>
  </si>
  <si>
    <t>Добірна планка 60мм.ECO-CELL.1-стулков,</t>
  </si>
  <si>
    <t>КД ECO-FIT.стандарт.2-стулков.(140)</t>
  </si>
  <si>
    <t>2-стулков.</t>
  </si>
  <si>
    <t>Добірна планка 60мм.ECO-CELL.2-стулков,</t>
  </si>
  <si>
    <t>КД ECO-FIT.стандарт.2-стулков.(150)</t>
  </si>
  <si>
    <t>КД ECO-FIT.стандарт.2-стулков.(160)</t>
  </si>
  <si>
    <t>Добірна планка 110мм.ECO-CELL.1-стулков,</t>
  </si>
  <si>
    <t>КД ECO-FIT.стандарт.2-стулков.(170)</t>
  </si>
  <si>
    <t>Добірна планка 110мм.ECO-CELL.2-стулков,</t>
  </si>
  <si>
    <t>КД ECO-FIT.стандарт.2-стулков.(180)</t>
  </si>
  <si>
    <t>КД ECO-FIT.туннель.1-стулков.60</t>
  </si>
  <si>
    <t>Добірна планка 200мм.ECO-CELL.1-стулков,</t>
  </si>
  <si>
    <t>КД ECO-FIT.туннель.1-стулков.70</t>
  </si>
  <si>
    <t>Добірна планка 200мм.ECO-CELL.2-стулков,</t>
  </si>
  <si>
    <t>КД ECO-FIT.туннель.1-стулков.80</t>
  </si>
  <si>
    <t>КД ECO-FIT.туннель.1-стулков.90</t>
  </si>
  <si>
    <t>КД ECO-FIT.туннель.1-стулков.100</t>
  </si>
  <si>
    <t>Планка ECO-FIT 80мм.ECO-CELL.1-стулков</t>
  </si>
  <si>
    <t>КД ECO-FIT.туннель.2-стулков.(100)</t>
  </si>
  <si>
    <t>Планка ECO-FIT 80мм.ECO-CELL.2-стулков</t>
  </si>
  <si>
    <t>КД ECO-FIT.туннель.2-стулков.(110)</t>
  </si>
  <si>
    <t>КД ECO-FIT.туннель.2-стулков.(120)</t>
  </si>
  <si>
    <t>Планка ECO-FIT 160мм.ECO-CELL.1-стулков</t>
  </si>
  <si>
    <t>КД ECO-FIT.туннель.2-стулков.(130)</t>
  </si>
  <si>
    <t>Планка ECO-FIT 160мм.ECO-CELL.2-стулков</t>
  </si>
  <si>
    <t>КД ECO-FIT.туннель.2-стулков.(140)</t>
  </si>
  <si>
    <t>КД ECO-FIT.туннель.2-стулков.(150)</t>
  </si>
  <si>
    <t>Планка ECO-FIT 200мм.ECO-CELL.1-стулков</t>
  </si>
  <si>
    <t>КД ECO-FIT.туннель.2-стулков.(160)</t>
  </si>
  <si>
    <t>Планка ECO-FIT 200мм.ECO-CELL.2-стулков</t>
  </si>
  <si>
    <t>КД ECO-FIT.туннель.2-стулков.(170)</t>
  </si>
  <si>
    <t>КД ECO-FIT.туннель.2-стулков.(180)</t>
  </si>
  <si>
    <t>РС ECO-SLIDE.стандарт,.1-стулков..60</t>
  </si>
  <si>
    <t>РС ECO-SLIDE.стандарт,.1-стулков..70</t>
  </si>
  <si>
    <t>РС ECO-SLIDE.стандарт,.1-стулков..80</t>
  </si>
  <si>
    <t>РС ECO-SLIDE.стандарт,.1-стулков..90</t>
  </si>
  <si>
    <t>КД Classic.стандарт.1-стулков</t>
  </si>
  <si>
    <t>КД Classic.стандарт.2-стулков</t>
  </si>
  <si>
    <t>КД ECO-FIT.стандарт.1-стулков</t>
  </si>
  <si>
    <t>КД ECO-FIT.стандарт.2-стулков</t>
  </si>
  <si>
    <t>КД ECO-FIT.туннель.1-стулков</t>
  </si>
  <si>
    <t>КД ECO-FIT.туннель.2-стулков</t>
  </si>
  <si>
    <t>РС ECO-SLIDE.стандарт,.1-стулков.</t>
  </si>
  <si>
    <t>Ліва</t>
  </si>
  <si>
    <t>Ручка-Захват.Ліва</t>
  </si>
  <si>
    <t>Ручка-Замок.Ліва</t>
  </si>
  <si>
    <t>Права</t>
  </si>
  <si>
    <t>Ручка-Захват.Права</t>
  </si>
  <si>
    <t>Ручка-Замок.Права</t>
  </si>
  <si>
    <t>Пл Stand +3завіс.Ліва</t>
  </si>
  <si>
    <t>Пл Stand +3завіс.Права</t>
  </si>
  <si>
    <t>ДП TANGO.Пл Stand +3завіс</t>
  </si>
  <si>
    <t>Пл Stand +3завіс</t>
  </si>
  <si>
    <t>ДП MILANO.Пл Stand +3завіс</t>
  </si>
  <si>
    <t>Пл Stand +3завіс.</t>
  </si>
  <si>
    <t>Пл Stand +3завіс.ВВ</t>
  </si>
  <si>
    <t>Пл Stand +3завіс.ВП</t>
  </si>
  <si>
    <t>ДП LIANO.Пл Stand +3завіс</t>
  </si>
  <si>
    <t>ДП BERGAMO.Пл Stand +3завіс</t>
  </si>
  <si>
    <t>Пл Soft +3завіс</t>
  </si>
  <si>
    <t>Пл Magnet +3завіс</t>
  </si>
  <si>
    <t>ДП GRANDE.Пл Stand +3завіс</t>
  </si>
  <si>
    <t>ДП PIANO.Пл Stand +3завіс</t>
  </si>
  <si>
    <t>ДП VIENTO.Пл Stand +3завіс</t>
  </si>
  <si>
    <t>КД Classic.Пл Stand +3завіс</t>
  </si>
  <si>
    <t>КД ECO-FIT.Пл Stand +3завіс</t>
  </si>
  <si>
    <t>фурн: відп. планка замка Standard + 3 завіси + ущільнювач</t>
  </si>
  <si>
    <t>Об'єкт</t>
  </si>
  <si>
    <t>Опис</t>
  </si>
  <si>
    <t>од.</t>
  </si>
  <si>
    <t>ціна</t>
  </si>
  <si>
    <t>ЗНИЖКА:</t>
  </si>
  <si>
    <t>ПДВ:</t>
  </si>
  <si>
    <t>ПОПЕРЕДНЯ СУМА ЗАМОВЛЕННЯ</t>
  </si>
  <si>
    <t>РАЗОМ</t>
  </si>
  <si>
    <t xml:space="preserve"> * дана таблиця переводить Ваше замовлення у внутрішнє кодування виробів, яке буде відображено у Рахунку-Фактурі.</t>
  </si>
  <si>
    <t>** переконливе прохання звіряти достовірність виставленого Рахунку-Фактури з Вашим замовленням відповідно до кодування виробів</t>
  </si>
  <si>
    <t>*** загальна сума є попередньою і може відрізнятись від суми рахунку-фактури (у зв'язку зі специфікою продукції)</t>
  </si>
  <si>
    <t>«ПОКУПЕЦЬ»:</t>
  </si>
  <si>
    <t>(Підпис відповідальної особи)</t>
  </si>
  <si>
    <t>UKR</t>
  </si>
  <si>
    <t>УВАГА: добірні планки не включені до Дверного Блоку</t>
  </si>
  <si>
    <t>так</t>
  </si>
  <si>
    <t>ні</t>
  </si>
  <si>
    <t>Лів</t>
  </si>
  <si>
    <t xml:space="preserve">СИСТЕМА КОДУВАННЯ ВИРОБІВ </t>
  </si>
  <si>
    <t>ДВЕРНІ ПОЛОТНА</t>
  </si>
  <si>
    <t>ДП ECO-Tango.04.20-06ч.116.С.Сн.30R.Лів</t>
  </si>
  <si>
    <t xml:space="preserve"> - Права навіска полотна (завіси з Правої сторони при відкритті на себе)</t>
  </si>
  <si>
    <t xml:space="preserve"> - Навіска не визначена чи може бути будь-яка (для дверей без фурнітури або дверей-купе)</t>
  </si>
  <si>
    <t>ФУРНІТУРА (ОСНАЩЕННЯ)</t>
  </si>
  <si>
    <t>без знаку</t>
  </si>
  <si>
    <t xml:space="preserve"> - без додаткового оснащення</t>
  </si>
  <si>
    <t xml:space="preserve"> - вентиляційні віддушини</t>
  </si>
  <si>
    <t xml:space="preserve"> - вентиляційний підріз</t>
  </si>
  <si>
    <t>ФУРНІТУРА (ЗАМКИ, ЗАВІСИ)</t>
  </si>
  <si>
    <t>для дверей з фальцем (робоче полотно)</t>
  </si>
  <si>
    <t>для дверей з фальцем (не робоче полотно)</t>
  </si>
  <si>
    <t>для дверей купе (робоче полотно)</t>
  </si>
  <si>
    <t>без замка і завіс</t>
  </si>
  <si>
    <t>3 завіси + планка замка Standard + 2 шпінгалета</t>
  </si>
  <si>
    <t>ручка-захват + паз внизу полотна під направляючу</t>
  </si>
  <si>
    <t>ручка-замок + паз внизу полотна під направляючу</t>
  </si>
  <si>
    <t>СКЛІННЯ</t>
  </si>
  <si>
    <t>без скла (тільки фільонки)</t>
  </si>
  <si>
    <t>Сатин (односторонній)</t>
  </si>
  <si>
    <t>ЗАПОВНЕННЯ ПОЛОТНА</t>
  </si>
  <si>
    <t>відсутнє</t>
  </si>
  <si>
    <t>Стандартне заповнення</t>
  </si>
  <si>
    <t>ПОКРИТТЯ (КОЛІР)</t>
  </si>
  <si>
    <t>ВИКОНАННЯ</t>
  </si>
  <si>
    <t>з фальцем, не робоче полотно (зворотній фальц з однієї із сторін)</t>
  </si>
  <si>
    <t>без фальцю, робоче полотно (для дверей б/з фальцю і дверей-купе)</t>
  </si>
  <si>
    <t>РОЗМІР ПОЛОТНА (див. в Каталозі Розділ: Таблиці Розмірів)</t>
  </si>
  <si>
    <t>номер моделі, згідно каталогу продукції</t>
  </si>
  <si>
    <t>СЕРІЯ</t>
  </si>
  <si>
    <t>серія дверей, згідно каталогу продукції</t>
  </si>
  <si>
    <t>ТИП ПРОДУКТУ</t>
  </si>
  <si>
    <t>дверне полотно</t>
  </si>
  <si>
    <t>СИСТЕМА КОДУВАННЯ ВИРОБІВ</t>
  </si>
  <si>
    <t>Лутка Р075.20-09 .A.112.00.Лів</t>
  </si>
  <si>
    <t>ДВЕРНІ КОРОБКИ ТА РОЗСУВНІ СИСТЕМИ</t>
  </si>
  <si>
    <t xml:space="preserve"> - Ліва навіска коробки (для дверного полотна з "Лів" навіскою)</t>
  </si>
  <si>
    <t xml:space="preserve"> - Права навіска коробки (для дверного полотна з "Пр" навіскою)</t>
  </si>
  <si>
    <t>для 1-стулкових дверних коробок</t>
  </si>
  <si>
    <t>без врізки і установки фурнітури (завіси і зворотня планка) + ущільнювач</t>
  </si>
  <si>
    <t>3 завіси + планка замка Standard + ущільнювач</t>
  </si>
  <si>
    <t>6 завіс (3 на кожній стойовій) + ущільнювач</t>
  </si>
  <si>
    <t>для розсувних систем ECO-SLIDE</t>
  </si>
  <si>
    <t>механізм (ролики, направляюча) + декоративна накладка + відбійний елемент</t>
  </si>
  <si>
    <t>планка замка + механізм (ролики, направляюча) + декоративна накладка + відбійний елемент</t>
  </si>
  <si>
    <t>номер моделі, згідно каталогу продукції (якщо нема моделей, вказується "01" за замовчуванням)</t>
  </si>
  <si>
    <t>стандартне виконання</t>
  </si>
  <si>
    <t>в виконанні "тунель"</t>
  </si>
  <si>
    <t>РОЗМІР (див. в Каталозі Розділ: Таблиці Размірів)</t>
  </si>
  <si>
    <t>1-стулкові позиції (коробки та розс.системы)</t>
  </si>
  <si>
    <t>ширина "60" (для полотен, розміром "60", для РС систем див. окремо)</t>
  </si>
  <si>
    <t>ширина "70" (для полотен, розміром "70", для РС систем див. окремо)</t>
  </si>
  <si>
    <t>ширина "80" (для полотен, розміром "80", для РС систем див. окремо)</t>
  </si>
  <si>
    <t>ширина "90" (для полотен, розміром "90", для РС систем див. окремо)</t>
  </si>
  <si>
    <t>ширина "100" (для полотен, розміром "100", для РС систем див. окремо)</t>
  </si>
  <si>
    <t>2-стулкові позиції (коробки)</t>
  </si>
  <si>
    <t>ширина "100" для двостулкових полотен, різної комбінації (60+40)</t>
  </si>
  <si>
    <t>ширина "110" для двостулкових полотен, різної комбінації (70+40)</t>
  </si>
  <si>
    <t>Дверна коробка CLASSIC МДФ (на ширину 80мм)</t>
  </si>
  <si>
    <t>Дверна коробка ECO-FIT (3 останні цифри позначають діапазон регулювання "від", наприклад Р075: 75-95мм)</t>
  </si>
  <si>
    <t>Розсувна система ECO-SLIDE</t>
  </si>
  <si>
    <t>Фрамуга Д80.245-665.01.108.Сн</t>
  </si>
  <si>
    <t>РОЗМІР</t>
  </si>
  <si>
    <t>Фрамуга ECO-FIT (3 останні цифри позначають діапазон регулювання "від", наприклад Р075: 75-95мм)</t>
  </si>
  <si>
    <t>ПОГОНАЖНІ ВИРОБИ</t>
  </si>
  <si>
    <t>РОЗМІР ВИРОБУ (див. в Каталозі Розділ: Таблиці Розмірів)</t>
  </si>
  <si>
    <t>для Регулювальних Планок</t>
  </si>
  <si>
    <t>1-стулкова, для коробки, розміром 20-06</t>
  </si>
  <si>
    <t>1-стулкова, для коробки, розміром 20-07</t>
  </si>
  <si>
    <t>1-стулкова, для коробки, розміром 20-08</t>
  </si>
  <si>
    <t>1-стулкова, для коробки, розміром 20-09</t>
  </si>
  <si>
    <t>1-стулкова, для коробки, розміром 20-10</t>
  </si>
  <si>
    <t>2-стулкова, для коробки, розміром 20-(10)</t>
  </si>
  <si>
    <t>2-стулкова, для коробки, розміром 20-(11)</t>
  </si>
  <si>
    <t>2-стулкова, для коробки, розміром 20-(12)</t>
  </si>
  <si>
    <t>2-стулкова, для коробки, розміром 20-(13)</t>
  </si>
  <si>
    <t>2-стулкова, для коробки, розміром 20-(14)</t>
  </si>
  <si>
    <t>2-стулкова, для коробки, розміром 20-(15)</t>
  </si>
  <si>
    <t>2-стулкова, для коробки, розміром 20-(16)</t>
  </si>
  <si>
    <t>2-стулкова, для коробки, розміром 20-(17)</t>
  </si>
  <si>
    <t>2-стулкова, для коробки, розміром 20-(18)</t>
  </si>
  <si>
    <t>для Лиштви</t>
  </si>
  <si>
    <t>2-стулковий комплект (три деталі 2220мм)</t>
  </si>
  <si>
    <t>для Регулювальних Планок (Дошивок)</t>
  </si>
  <si>
    <t>2-стулковий комплект (три деталі 2070мм)</t>
  </si>
  <si>
    <t>для Плінтуса</t>
  </si>
  <si>
    <t>для Порогів</t>
  </si>
  <si>
    <t>1-стулковий, 1030мм</t>
  </si>
  <si>
    <t>2-стулковий, 2060мм</t>
  </si>
  <si>
    <t>Плінтус: 60мм (МДФ)</t>
  </si>
  <si>
    <t>Плінтус: 80мм (МДФ)</t>
  </si>
  <si>
    <t>Поріг 80мм (дерево) покриття: лак</t>
  </si>
  <si>
    <t>Регулювальна планка: 60 мм (МДФ)</t>
  </si>
  <si>
    <t>Регулювальна планка: 110 мм (МДФ)</t>
  </si>
  <si>
    <t>Регулювальна планка: 200 мм (МДФ)</t>
  </si>
  <si>
    <t>Регулювальна планка: 80мм (МДФ)</t>
  </si>
  <si>
    <t>Регулювальна планка: 160мм (МДФ)</t>
  </si>
  <si>
    <t>Регулювальна планка: 200мм (МДФ)</t>
  </si>
  <si>
    <t>Накладка на завіси ( чорн. матов.)</t>
  </si>
  <si>
    <t>Накладка на завіси ( біл. матов.)</t>
  </si>
  <si>
    <t>Stand цл Лів +3завіс.</t>
  </si>
  <si>
    <t>Stand цл Пр +3завіс.</t>
  </si>
  <si>
    <t>39</t>
  </si>
  <si>
    <t>Stand кл Лів +3завіс.</t>
  </si>
  <si>
    <t>Stand кл Пр +3завіс.</t>
  </si>
  <si>
    <t>Stand ст Лів +3завіс.</t>
  </si>
  <si>
    <t>Stand ст Пр +3завіс.</t>
  </si>
  <si>
    <t>41</t>
  </si>
  <si>
    <t>фурн: замок Standard (циліндр) лівий + 3 завіси</t>
  </si>
  <si>
    <t>фурн: замок Standard (циліндр) правий + 3 завіси</t>
  </si>
  <si>
    <t>фурн: замок Standard (ключ) лівий + 3 завіси</t>
  </si>
  <si>
    <t>фурн: замок Standard (ключ) правий + 3 завіси</t>
  </si>
  <si>
    <t>фурн: замок Standard (сантехнічний) лівий + 3 завіси</t>
  </si>
  <si>
    <t>фурн: замок Standard (сантехнічний) правий + 3 завіси</t>
  </si>
  <si>
    <t>39V</t>
  </si>
  <si>
    <t>40V</t>
  </si>
  <si>
    <t>41V</t>
  </si>
  <si>
    <t>Stand цл Лів +3завіс.ВВ</t>
  </si>
  <si>
    <t>Stand цл Пр +3завіс.ВВ</t>
  </si>
  <si>
    <t>Stand кл Лів +3завіс.ВВ</t>
  </si>
  <si>
    <t>Stand кл Пр +3завіс.ВВ</t>
  </si>
  <si>
    <t>Stand ст Лів +3завіс.ВВ</t>
  </si>
  <si>
    <t>Stand ст Пр +3завіс.ВВ</t>
  </si>
  <si>
    <t>фурн: замок Standard (циліндр) лівий + 3 завіси + вент.відд</t>
  </si>
  <si>
    <t>фурн: замок Standard (циліндр) правий + 3 завіси + вент.відд</t>
  </si>
  <si>
    <t>фурн: замок Standard (ключ) лівий + 3 завіси + вент.відд</t>
  </si>
  <si>
    <t>фурн: замок Standard (ключ) правий + 3 завіси + вент.відд</t>
  </si>
  <si>
    <t>фурн: замок Standard (сантехнічний) лівий + 3 завіси + вент.відд</t>
  </si>
  <si>
    <t>фурн: замок Standard (сантехнічний) правий + 3 завіси + вент.відд</t>
  </si>
  <si>
    <t>39R</t>
  </si>
  <si>
    <t>40R</t>
  </si>
  <si>
    <t>41R</t>
  </si>
  <si>
    <t>Stand цл Лів +3завіс.ВП</t>
  </si>
  <si>
    <t>Stand цл Пр +3завіс.ВП</t>
  </si>
  <si>
    <t>Stand кл Лів +3завіс.ВП</t>
  </si>
  <si>
    <t>Stand кл Пр +3завіс.ВП</t>
  </si>
  <si>
    <t>Stand ст Лів +3завіс.ВП</t>
  </si>
  <si>
    <t>Stand ст Пр +3завіс.ВП</t>
  </si>
  <si>
    <t>фурн: замок Standard (циліндр) лівий + 3 завіси + вент.підріз</t>
  </si>
  <si>
    <t>фурн: замок Standard (циліндр) правий + 3 завіси + вент.підріз</t>
  </si>
  <si>
    <t>фурн: замок Standard (ключ) лівий + 3 завіси + вент.підріз</t>
  </si>
  <si>
    <t>фурн: замок Standard (ключ) правий + 3 завіси + вент.підріз</t>
  </si>
  <si>
    <t>фурн: замок Standard (сантехнічний) лівий + 3 завіси + вент.підріз</t>
  </si>
  <si>
    <t>фурн: замок Standard (сантехнічний) правий + 3 завіси + вент.підріз</t>
  </si>
  <si>
    <t>Stand цл Лів +3завіс.Ліва</t>
  </si>
  <si>
    <t>Stand цл Пр +3завіс.Права</t>
  </si>
  <si>
    <t>Stand кл Лів +3завіс.Ліва</t>
  </si>
  <si>
    <t>Stand кл Пр +3завіс.Права</t>
  </si>
  <si>
    <t>Stand ст Лів +3завіс.Ліва</t>
  </si>
  <si>
    <t>Stand ст Пр +3завіс.Права</t>
  </si>
  <si>
    <t>Stand цл Лів +3завіс</t>
  </si>
  <si>
    <t>Stand цл Пр +3завіс</t>
  </si>
  <si>
    <t>Stand кл Лів +3завіс</t>
  </si>
  <si>
    <t>Stand кл Пр +3завіс</t>
  </si>
  <si>
    <t>Stand ст Лів +3завіс</t>
  </si>
  <si>
    <t>Stand ст Пр +3завіс</t>
  </si>
  <si>
    <t>ДП TANGO.Stand цл Лів +3завіс</t>
  </si>
  <si>
    <t>ДП TANGO.Stand цл Пр +3завіс</t>
  </si>
  <si>
    <t>ДП TANGO.Stand кл Лів +3завіс</t>
  </si>
  <si>
    <t>ДП TANGO.Stand кл Пр +3завіс</t>
  </si>
  <si>
    <t>ДП TANGO.Stand ст Лів +3завіс</t>
  </si>
  <si>
    <t>ДП TANGO.Stand ст Пр +3завіс</t>
  </si>
  <si>
    <t>ДП MILANO.Stand цл Лів +3завіс</t>
  </si>
  <si>
    <t>ДП MILANO.Stand цл Пр +3завіс</t>
  </si>
  <si>
    <t>ДП MILANO.Stand кл Лів +3завіс</t>
  </si>
  <si>
    <t>ДП MILANO.Stand кл Пр +3завіс</t>
  </si>
  <si>
    <t>ДП MILANO.Stand ст Лів +3завіс</t>
  </si>
  <si>
    <t>ДП MILANO.Stand ст Пр +3завіс</t>
  </si>
  <si>
    <t>ДП LIANO.Stand цл Лів +3завіс</t>
  </si>
  <si>
    <t>ДП LIANO.Stand цл Пр +3завіс</t>
  </si>
  <si>
    <t>ДП LIANO.Stand кл Лів +3завіс</t>
  </si>
  <si>
    <t>ДП LIANO.Stand кл Пр +3завіс</t>
  </si>
  <si>
    <t>ДП LIANO.Stand ст Лів +3завіс</t>
  </si>
  <si>
    <t>ДП LIANO.Stand ст Пр +3завіс</t>
  </si>
  <si>
    <t>ДП BERGAMO.Stand цл Лів +3завіс</t>
  </si>
  <si>
    <t>ДП BERGAMO.Stand цл Пр +3завіс</t>
  </si>
  <si>
    <t>ДП BERGAMO.Stand кл Лів +3завіс</t>
  </si>
  <si>
    <t>ДП BERGAMO.Stand кл Пр +3завіс</t>
  </si>
  <si>
    <t>ДП BERGAMO.Stand ст Лів +3завіс</t>
  </si>
  <si>
    <t>ДП BERGAMO.Stand ст Пр +3завіс</t>
  </si>
  <si>
    <t>ДП GRANDE.Stand цл Лів +3завіс</t>
  </si>
  <si>
    <t>ДП GRANDE.Stand цл Пр +3завіс</t>
  </si>
  <si>
    <t>ДП GRANDE.Stand кл Лів +3завіс</t>
  </si>
  <si>
    <t>ДП GRANDE.Stand кл Пр +3завіс</t>
  </si>
  <si>
    <t>ДП GRANDE.Stand ст Лів +3завіс</t>
  </si>
  <si>
    <t>ДП GRANDE.Stand ст Пр +3завіс</t>
  </si>
  <si>
    <t>ДП PIANO.Stand цл Лів +3завіс</t>
  </si>
  <si>
    <t>ДП PIANO.Stand цл Пр +3завіс</t>
  </si>
  <si>
    <t>ДП PIANO.Stand кл Лів +3завіс</t>
  </si>
  <si>
    <t>ДП PIANO.Stand кл Пр +3завіс</t>
  </si>
  <si>
    <t>ДП PIANO.Stand ст Лів +3завіс</t>
  </si>
  <si>
    <t>ДП PIANO.Stand ст Пр +3завіс</t>
  </si>
  <si>
    <t>ДП VIENTO.Stand цл Лів +3завіс</t>
  </si>
  <si>
    <t>ДП VIENTO.Stand цл Пр +3завіс</t>
  </si>
  <si>
    <t>ДП VIENTO.Stand кл Лів +3завіс</t>
  </si>
  <si>
    <t>ДП VIENTO.Stand кл Пр +3завіс</t>
  </si>
  <si>
    <t>ДП VIENTO.Stand ст Лів +3завіс</t>
  </si>
  <si>
    <t>ДП VIENTO.Stand ст Пр +3завіс</t>
  </si>
  <si>
    <t>3 завіси + замок Standard (циліндр) лівий</t>
  </si>
  <si>
    <t>3 завіси + замок Standard (ключ) лівий</t>
  </si>
  <si>
    <t>3 завіси + замок Standard (сантехнічний) лівий</t>
  </si>
  <si>
    <t>НАВІСКА</t>
  </si>
  <si>
    <t xml:space="preserve"> - Ліва навіска полотна (завіси з Лівої сторони при відкритті на себе)</t>
  </si>
  <si>
    <t>номер кольору, згідно каталогу продукціі (див. Розділ Аксесуари - Покриття)</t>
  </si>
  <si>
    <t>з фальцем, робоче полотно (фальц з 2х сторін)</t>
  </si>
  <si>
    <t>полотно шириною "60" (розмір мм: 2040*626)</t>
  </si>
  <si>
    <t>полотно шириною "70" (розмір мм: 2040*726)</t>
  </si>
  <si>
    <t>полотно шириною "80" (розмір мм: 2040*826)</t>
  </si>
  <si>
    <t>полотно шириною "90" (розмір мм: 2040*926)</t>
  </si>
  <si>
    <t>полотно шириною "100" (розмір мм: 2040*1026)</t>
  </si>
  <si>
    <t xml:space="preserve"> - Навіска не визначена або може бути будь-яка (для виробів без фурнітури, 2-стулкових коробок та розсувних систем ECO-SLIDE)</t>
  </si>
  <si>
    <t>для 2-стулкових дверних коробок</t>
  </si>
  <si>
    <t>1-стулковий комплект (дві деталі 2220мм та одна 1100мм)</t>
  </si>
  <si>
    <t>1-стулковий комплект (дві деталі 2070мм та одна 1030мм)</t>
  </si>
  <si>
    <t>ширина "120" для двостулкових полотен, різної комбінації (80+40, 60+60 тощо)</t>
  </si>
  <si>
    <t>ширина "130" для двостулкових полотен, різної комбінації (90+40, 70+60 тощо)</t>
  </si>
  <si>
    <t>ширина "140" для двостулкових полотен, різної комбінації (100+40, 70+70 тощо )</t>
  </si>
  <si>
    <t>ширина "150" для двостулкових полотен, різної комбінації (70+80, 60+90  тощо)</t>
  </si>
  <si>
    <t>ширина "160" для двостулкових полотен, різної комбінації (100+60, 80+80 тощо)</t>
  </si>
  <si>
    <t>ширина "170" для двостулкових полотен, різної комбінації (100+70, 90+80 тощо)</t>
  </si>
  <si>
    <t>ширина "180" для двостулкових полотен, різної комбінації (100+80, 90+90 тощо)</t>
  </si>
  <si>
    <t>вказується зовнішній розмір фрамуги в мм (ширина-висота), наприклад: 245-665 - ширина фрамуги 245мм, висота фрамуги 665мм.</t>
  </si>
  <si>
    <t>Накладка на завіси ( чорн. мат.)</t>
  </si>
  <si>
    <t>Накладка на завісу чорн. мат.</t>
  </si>
  <si>
    <t>Плінтус 80мм (від 8 шт)</t>
  </si>
  <si>
    <t>Плінтус 80мм (від 8 шт).ECO-CELL.2050 мм</t>
  </si>
  <si>
    <t>Плінтус 80мм (від 8 шт).(ні)</t>
  </si>
  <si>
    <t>Плінтус 80мм (від 8 шт).ECO-CELL</t>
  </si>
  <si>
    <t>Плінтус 60мм (від 8 шт)</t>
  </si>
  <si>
    <t>Плінтус 60мм (від 8 шт).ECO-CELL.2050 мм</t>
  </si>
  <si>
    <t>Плінтус 60мм (від 8 шт).(ні)</t>
  </si>
  <si>
    <t>Плінтус 60мм (від 8 шт).ECO-CELL</t>
  </si>
  <si>
    <t>ECO-Resist</t>
  </si>
  <si>
    <t>201 Білий</t>
  </si>
  <si>
    <t>ДП TANGO.1.ECO-Resist</t>
  </si>
  <si>
    <t>ДП TANGO.2.ECO-Resist</t>
  </si>
  <si>
    <t>ДП TANGO.3.ECO-Resist</t>
  </si>
  <si>
    <t>ДП TANGO.4.ECO-Resist</t>
  </si>
  <si>
    <t>ДП TANGO.5.ECO-Resist</t>
  </si>
  <si>
    <t>ДП TANGO.6.ECO-Resist</t>
  </si>
  <si>
    <t>ДП TANGO.7.ECO-Resist</t>
  </si>
  <si>
    <t>ДП MILANO.1.ECO-Resist</t>
  </si>
  <si>
    <t>ДП MILANO.2.ECO-Resist</t>
  </si>
  <si>
    <t>ДП MILANO.3.ECO-Resist</t>
  </si>
  <si>
    <t>ДП MILANO.4.ECO-Resist</t>
  </si>
  <si>
    <t>ДП MILANO.5.ECO-Resist</t>
  </si>
  <si>
    <t>ДП MILANO.6.ECO-Resist</t>
  </si>
  <si>
    <t>ДП MILANO.7.ECO-Resist</t>
  </si>
  <si>
    <t>ДП MILANO.8.ECO-Resist</t>
  </si>
  <si>
    <t>ДП MILANO.9.ECO-Resist</t>
  </si>
  <si>
    <t>ДП MILANO.1A.ECO-Resist</t>
  </si>
  <si>
    <t>ДП MILANO.2A.ECO-Resist</t>
  </si>
  <si>
    <t>ДП MILANO.3A.ECO-Resist</t>
  </si>
  <si>
    <t>ДП MILANO.4A.ECO-Resist</t>
  </si>
  <si>
    <t>ДП LIANO.1.ECO-Resist</t>
  </si>
  <si>
    <t>ДП LIANO.2.ECO-Resist</t>
  </si>
  <si>
    <t>ДП LIANO.3.ECO-Resist</t>
  </si>
  <si>
    <t>ДП LIANO.4.ECO-Resist</t>
  </si>
  <si>
    <t>ДП LIANO.5.ECO-Resist</t>
  </si>
  <si>
    <t>ДП LIANO.6.ECO-Resist</t>
  </si>
  <si>
    <t>ДП LIANO.1A.ECO-Resist</t>
  </si>
  <si>
    <t>ДП LIANO.2A.ECO-Resist</t>
  </si>
  <si>
    <t>ДП LIANO.3A.ECO-Resist</t>
  </si>
  <si>
    <t>ДП LIANO.4A.ECO-Resist</t>
  </si>
  <si>
    <t>ДП BERGAMO.1.ECO-Resist</t>
  </si>
  <si>
    <t>ДП BERGAMO.2.ECO-Resist</t>
  </si>
  <si>
    <t>ДП BERGAMO.3.ECO-Resist</t>
  </si>
  <si>
    <t>ДП BERGAMO.4.ECO-Resist</t>
  </si>
  <si>
    <t>ДП BERGAMO.5.ECO-Resist</t>
  </si>
  <si>
    <t>ДП BERGAMO.6.ECO-Resist</t>
  </si>
  <si>
    <t>ДП BERGAMO.1A.ECO-Resist</t>
  </si>
  <si>
    <t>ДП BERGAMO.2A.ECO-Resist</t>
  </si>
  <si>
    <t>ДП BERGAMO.3A.ECO-Resist</t>
  </si>
  <si>
    <t>ДП BERGAMO.4A.ECO-Resist</t>
  </si>
  <si>
    <t>ДП GRANDE.1.ECO-Resist</t>
  </si>
  <si>
    <t>ДП GRANDE.2.ECO-Resist</t>
  </si>
  <si>
    <t>ДП GRANDE.3.ECO-Resist</t>
  </si>
  <si>
    <t>ДП GRANDE.4.ECO-Resist</t>
  </si>
  <si>
    <t>ДП GRANDE.5.ECO-Resist</t>
  </si>
  <si>
    <t>ДП GRANDE.6.ECO-Resist</t>
  </si>
  <si>
    <t>ДП GRANDE.1A.ECO-Resist</t>
  </si>
  <si>
    <t>ДП GRANDE.2A.ECO-Resist</t>
  </si>
  <si>
    <t>ДП GRANDE.3A.ECO-Resist</t>
  </si>
  <si>
    <t>ДП GRANDE.4A.ECO-Resist</t>
  </si>
  <si>
    <t>ДП PIANO.1.ECO-Resist</t>
  </si>
  <si>
    <t>ДП PIANO.2.ECO-Resist</t>
  </si>
  <si>
    <t>ДП PIANO.3.ECO-Resist</t>
  </si>
  <si>
    <t>ДП VIENTO.1.ECO-Resist</t>
  </si>
  <si>
    <t>ДП VIENTO.2.ECO-Resist</t>
  </si>
  <si>
    <t>ДП VIENTO.3.ECO-Resist</t>
  </si>
  <si>
    <t>ДП VIENTO.4.ECO-Resist</t>
  </si>
  <si>
    <t>ДП VIENTO.5.ECO-Resist</t>
  </si>
  <si>
    <t>ДП VIENTO.1A.ECO-Resist</t>
  </si>
  <si>
    <t>ДП VIENTO.2A.ECO-Resist</t>
  </si>
  <si>
    <t>КД Classic.1.ECO-Resist</t>
  </si>
  <si>
    <t>КД ECO-FIT.A.ECO-Resist</t>
  </si>
  <si>
    <t>КД ECO-FIT.B.ECO-Resist</t>
  </si>
  <si>
    <t>КД ECO-FIT.B+.ECO-Resist</t>
  </si>
  <si>
    <t>КД ECO-FIT.C.ECO-Resist</t>
  </si>
  <si>
    <t>КД ECO-FIT.D.ECO-Resist</t>
  </si>
  <si>
    <t>КД ECO-FIT.E.ECO-Resist</t>
  </si>
  <si>
    <t>КД ECO-FIT.F.ECO-Resist</t>
  </si>
  <si>
    <t>КД ECO-FIT.G.ECO-Resist</t>
  </si>
  <si>
    <t>КД ECO-FIT.H.ECO-Resist</t>
  </si>
  <si>
    <t>КД ECO-FIT.I.ECO-Resist</t>
  </si>
  <si>
    <t>РС ECO-SLIDE.1.ECO-Resist</t>
  </si>
  <si>
    <t>ФР ECO-FIT.A.ECO-Resist</t>
  </si>
  <si>
    <t>ФР ECO-FIT.B.ECO-Resist</t>
  </si>
  <si>
    <t>ФР ECO-FIT.B+.ECO-Resist</t>
  </si>
  <si>
    <t>ФР ECO-FIT.C.ECO-Resist</t>
  </si>
  <si>
    <t>ФР ECO-FIT.D.ECO-Resist</t>
  </si>
  <si>
    <t>ФР ECO-FIT.E.ECO-Resist</t>
  </si>
  <si>
    <t>ФР ECO-FIT.F.ECO-Resist</t>
  </si>
  <si>
    <t>ФР ECO-FIT.G.ECO-Resist</t>
  </si>
  <si>
    <t>ФР ECO-FIT.H.ECO-Resist</t>
  </si>
  <si>
    <t>ФР ECO-FIT.I.ECO-Resist</t>
  </si>
  <si>
    <t>Лиштва пряма 60мм.ECO-Resist</t>
  </si>
  <si>
    <t>Добірна планка 60мм.ECO-Resist</t>
  </si>
  <si>
    <t>Добірна планка 110мм.ECO-Resist</t>
  </si>
  <si>
    <t>Добірна планка 200мм.ECO-Resist</t>
  </si>
  <si>
    <t>Планка ECO-FIT 80мм.ECO-Resist</t>
  </si>
  <si>
    <t>Планка ECO-FIT 160мм.ECO-Resist</t>
  </si>
  <si>
    <t>Планка ECO-FIT 200мм.ECO-Resist</t>
  </si>
  <si>
    <t>Плінтус 60мм (від 8 шт).ECO-Resist</t>
  </si>
  <si>
    <t>Плінтус 80мм (від 8 шт).ECO-Resist</t>
  </si>
  <si>
    <t>Поріг дерев'яний (лак) - двостулковий</t>
  </si>
  <si>
    <t>колір: білий (резіст)</t>
  </si>
  <si>
    <t>КД Classic.1.ECO-Resist.1-стулков</t>
  </si>
  <si>
    <t>КД Classic.1.ECO-Resist.2-стулков</t>
  </si>
  <si>
    <t>КД ECO-FIT.A.ECO-Resist.1-стулков</t>
  </si>
  <si>
    <t>КД ECO-FIT.A.ECO-Resist.2-стулков</t>
  </si>
  <si>
    <t>КД ECO-FIT.B.ECO-Resist.1-стулков</t>
  </si>
  <si>
    <t>КД ECO-FIT.B.ECO-Resist.2-стулков</t>
  </si>
  <si>
    <t>КД ECO-FIT.B+.ECO-Resist.1-стулков</t>
  </si>
  <si>
    <t>КД ECO-FIT.B+.ECO-Resist.2-стулков</t>
  </si>
  <si>
    <t>КД ECO-FIT.C.ECO-Resist.1-стулков</t>
  </si>
  <si>
    <t>КД ECO-FIT.C.ECO-Resist.2-стулков</t>
  </si>
  <si>
    <t>КД ECO-FIT.D.ECO-Resist.1-стулков</t>
  </si>
  <si>
    <t>КД ECO-FIT.D.ECO-Resist.2-стулков</t>
  </si>
  <si>
    <t>КД ECO-FIT.E.ECO-Resist.1-стулков</t>
  </si>
  <si>
    <t>КД ECO-FIT.E.ECO-Resist.2-стулков</t>
  </si>
  <si>
    <t>КД ECO-FIT.F.ECO-Resist.1-стулков</t>
  </si>
  <si>
    <t>КД ECO-FIT.F.ECO-Resist.2-стулков</t>
  </si>
  <si>
    <t>КД ECO-FIT.G.ECO-Resist.1-стулков</t>
  </si>
  <si>
    <t>КД ECO-FIT.G.ECO-Resist.2-стулков</t>
  </si>
  <si>
    <t>КД ECO-FIT.H.ECO-Resist.1-стулков</t>
  </si>
  <si>
    <t>КД ECO-FIT.H.ECO-Resist.2-стулков</t>
  </si>
  <si>
    <t>КД ECO-FIT.I.ECO-Resist.1-стулков</t>
  </si>
  <si>
    <t>КД ECO-FIT.I.ECO-Resist.2-стулков</t>
  </si>
  <si>
    <t>РС ECO-SLIDE.1.ECO-Resist.1-стулков.</t>
  </si>
  <si>
    <t>Лиштва пряма 60мм.ECO-Resist.1-стулков,</t>
  </si>
  <si>
    <t>Добірна планка 60мм.ECO-Resist.1-стулков,</t>
  </si>
  <si>
    <t>Добірна планка 60мм.ECO-Resist.2-стулков,</t>
  </si>
  <si>
    <t>Добірна планка 110мм.ECO-Resist.1-стулков,</t>
  </si>
  <si>
    <t>Добірна планка 110мм.ECO-Resist.2-стулков,</t>
  </si>
  <si>
    <t>СТВОРКИ</t>
  </si>
  <si>
    <t>Лакобель</t>
  </si>
  <si>
    <t>Лк</t>
  </si>
  <si>
    <t>скло: лакобель</t>
  </si>
  <si>
    <t>ДП MILANO.2.Лакобель</t>
  </si>
  <si>
    <t>ДП MILANO.3.Лакобель</t>
  </si>
  <si>
    <t>ДП MILANO.4.Лакобель</t>
  </si>
  <si>
    <t>ДП MILANO.5.Лакобель</t>
  </si>
  <si>
    <t>ДП MILANO.6.Лакобель</t>
  </si>
  <si>
    <t>ДП MILANO.7.Лакобель</t>
  </si>
  <si>
    <t>ДП MILANO.8.Лакобель</t>
  </si>
  <si>
    <t>ДП MILANO.9.Лакобель</t>
  </si>
  <si>
    <t>ДП MILANO.1A.Лакобель</t>
  </si>
  <si>
    <t>ДП MILANO.2A.Лакобель</t>
  </si>
  <si>
    <t>ДП MILANO.3A.Лакобель</t>
  </si>
  <si>
    <t>ДП MILANO.4A.Лакобель</t>
  </si>
  <si>
    <t>ДП GRANDE.2.Лакобель</t>
  </si>
  <si>
    <t>ДП GRANDE.3.Лакобель</t>
  </si>
  <si>
    <t>ДП GRANDE.4.Лакобель</t>
  </si>
  <si>
    <t>ДП GRANDE.5.Лакобель</t>
  </si>
  <si>
    <t>ДП GRANDE.6.Лакобель</t>
  </si>
  <si>
    <t>ДП GRANDE.1A.Лакобель</t>
  </si>
  <si>
    <t>ДП GRANDE.2A.Лакобель</t>
  </si>
  <si>
    <t>ДП GRANDE.3A.Лакобель</t>
  </si>
  <si>
    <t>ДП GRANDE.4A.Лакобель</t>
  </si>
  <si>
    <t>ДП PIANO.2.Лакобель</t>
  </si>
  <si>
    <t>ДП PIANO.3.Лакобель</t>
  </si>
  <si>
    <t>фальц.неробоча.40</t>
  </si>
  <si>
    <t>20-04ч</t>
  </si>
  <si>
    <t>розмір (мм): 2040*426 з фальцем (неробоче полотно)</t>
  </si>
  <si>
    <t>Лутка РП075</t>
  </si>
  <si>
    <t>Лутка РП095</t>
  </si>
  <si>
    <t>Лутка РП100</t>
  </si>
  <si>
    <t>Лутка РП120</t>
  </si>
  <si>
    <t>Лутка РП140</t>
  </si>
  <si>
    <t>Лутка РП160</t>
  </si>
  <si>
    <t>Лутка РП180</t>
  </si>
  <si>
    <t>Лутка РП200</t>
  </si>
  <si>
    <t>Лутка РП220</t>
  </si>
  <si>
    <t>Лутка РП240</t>
  </si>
  <si>
    <t>КД ECO-FIT Plus</t>
  </si>
  <si>
    <t>КД ECO-FIT Plus.60</t>
  </si>
  <si>
    <t>КД ECO-FIT Plus.70</t>
  </si>
  <si>
    <t>КД ECO-FIT Plus.80</t>
  </si>
  <si>
    <t>КД ECO-FIT Plus.90</t>
  </si>
  <si>
    <t>КД ECO-FIT Plus.100</t>
  </si>
  <si>
    <t>КД ECO-FIT Plus.A.ECO-CELL</t>
  </si>
  <si>
    <t>КД ECO-FIT Plus.A.ECO-Resist</t>
  </si>
  <si>
    <t>КД ECO-FIT Plus.B.ECO-CELL</t>
  </si>
  <si>
    <t>КД ECO-FIT Plus.B.ECO-Resist</t>
  </si>
  <si>
    <t>КД ECO-FIT Plus.B+.ECO-CELL</t>
  </si>
  <si>
    <t>КД ECO-FIT Plus.B+.ECO-Resist</t>
  </si>
  <si>
    <t>КД ECO-FIT Plus.C.ECO-CELL</t>
  </si>
  <si>
    <t>КД ECO-FIT Plus.C.ECO-Resist</t>
  </si>
  <si>
    <t>КД ECO-FIT Plus.D.ECO-CELL</t>
  </si>
  <si>
    <t>КД ECO-FIT Plus.D.ECO-Resist</t>
  </si>
  <si>
    <t>КД ECO-FIT Plus.E.ECO-CELL</t>
  </si>
  <si>
    <t>КД ECO-FIT Plus.E.ECO-Resist</t>
  </si>
  <si>
    <t>КД ECO-FIT Plus.F.ECO-CELL</t>
  </si>
  <si>
    <t>КД ECO-FIT Plus.F.ECO-Resist</t>
  </si>
  <si>
    <t>КД ECO-FIT Plus.G.ECO-CELL</t>
  </si>
  <si>
    <t>КД ECO-FIT Plus.G.ECO-Resist</t>
  </si>
  <si>
    <t>КД ECO-FIT Plus.H.ECO-CELL</t>
  </si>
  <si>
    <t>КД ECO-FIT Plus.H.ECO-Resist</t>
  </si>
  <si>
    <t>КД ECO-FIT Plus.I.ECO-CELL</t>
  </si>
  <si>
    <t>КД ECO-FIT Plus.I.ECO-Resist</t>
  </si>
  <si>
    <t>КД ECO-FIT Plus.(ні)</t>
  </si>
  <si>
    <t>КД ECO-FIT Plus.Пл Stand +3завіс</t>
  </si>
  <si>
    <t>КД ECO-FIT Plus.6 завіс (3+3)</t>
  </si>
  <si>
    <t>КД ECO-FIT Plus.A.ECO-CELL.1-стулков</t>
  </si>
  <si>
    <t>КД ECO-FIT Plus.A.ECO-Resist.1-стулков</t>
  </si>
  <si>
    <t>КД ECO-FIT Plus.A.ECO-CELL.2-стулков</t>
  </si>
  <si>
    <t>КД ECO-FIT Plus.A.ECO-Resist.2-стулков</t>
  </si>
  <si>
    <t>КД ECO-FIT Plus.B.ECO-CELL.1-стулков</t>
  </si>
  <si>
    <t>КД ECO-FIT Plus.B.ECO-Resist.1-стулков</t>
  </si>
  <si>
    <t>КД ECO-FIT Plus.B.ECO-CELL.2-стулков</t>
  </si>
  <si>
    <t>КД ECO-FIT Plus.B.ECO-Resist.2-стулков</t>
  </si>
  <si>
    <t>КД ECO-FIT Plus.B+.ECO-CELL.1-стулков</t>
  </si>
  <si>
    <t>КД ECO-FIT Plus.B+.ECO-Resist.1-стулков</t>
  </si>
  <si>
    <t>КД ECO-FIT Plus.B+.ECO-CELL.2-стулков</t>
  </si>
  <si>
    <t>КД ECO-FIT Plus.B+.ECO-Resist.2-стулков</t>
  </si>
  <si>
    <t>КД ECO-FIT Plus.C.ECO-CELL.1-стулков</t>
  </si>
  <si>
    <t>КД ECO-FIT Plus.C.ECO-Resist.1-стулков</t>
  </si>
  <si>
    <t>КД ECO-FIT Plus.C.ECO-CELL.2-стулков</t>
  </si>
  <si>
    <t>КД ECO-FIT Plus.C.ECO-Resist.2-стулков</t>
  </si>
  <si>
    <t>КД ECO-FIT Plus.D.ECO-CELL.1-стулков</t>
  </si>
  <si>
    <t>КД ECO-FIT Plus.D.ECO-Resist.1-стулков</t>
  </si>
  <si>
    <t>КД ECO-FIT Plus.D.ECO-CELL.2-стулков</t>
  </si>
  <si>
    <t>КД ECO-FIT Plus.D.ECO-Resist.2-стулков</t>
  </si>
  <si>
    <t>КД ECO-FIT Plus.E.ECO-CELL.1-стулков</t>
  </si>
  <si>
    <t>КД ECO-FIT Plus.E.ECO-Resist.1-стулков</t>
  </si>
  <si>
    <t>КД ECO-FIT Plus.E.ECO-CELL.2-стулков</t>
  </si>
  <si>
    <t>КД ECO-FIT Plus.E.ECO-Resist.2-стулков</t>
  </si>
  <si>
    <t>КД ECO-FIT Plus.F.ECO-CELL.1-стулков</t>
  </si>
  <si>
    <t>КД ECO-FIT Plus.F.ECO-Resist.1-стулков</t>
  </si>
  <si>
    <t>КД ECO-FIT Plus.F.ECO-CELL.2-стулков</t>
  </si>
  <si>
    <t>КД ECO-FIT Plus.F.ECO-Resist.2-стулков</t>
  </si>
  <si>
    <t>КД ECO-FIT Plus.G.ECO-CELL.1-стулков</t>
  </si>
  <si>
    <t>КД ECO-FIT Plus.G.ECO-Resist.1-стулков</t>
  </si>
  <si>
    <t>КД ECO-FIT Plus.G.ECO-CELL.2-стулков</t>
  </si>
  <si>
    <t>КД ECO-FIT Plus.G.ECO-Resist.2-стулков</t>
  </si>
  <si>
    <t>КД ECO-FIT Plus.H.ECO-CELL.1-стулков</t>
  </si>
  <si>
    <t>КД ECO-FIT Plus.H.ECO-Resist.1-стулков</t>
  </si>
  <si>
    <t>КД ECO-FIT Plus.H.ECO-CELL.2-стулков</t>
  </si>
  <si>
    <t>КД ECO-FIT Plus.H.ECO-Resist.2-стулков</t>
  </si>
  <si>
    <t>КД ECO-FIT Plus.I.ECO-CELL.1-стулков</t>
  </si>
  <si>
    <t>КД ECO-FIT Plus.I.ECO-Resist.1-стулков</t>
  </si>
  <si>
    <t>КД ECO-FIT Plus.I.ECO-CELL.2-стулков</t>
  </si>
  <si>
    <t>КД ECO-FIT Plus.I.ECO-Resist.2-стулков</t>
  </si>
  <si>
    <t>КД ECO-FIT Plus.стандарт.1-стулков</t>
  </si>
  <si>
    <t>КД ECO-FIT Plus.стандарт.2-стулков</t>
  </si>
  <si>
    <t>КД ECO-FIT Plus.туннель.1-стулков</t>
  </si>
  <si>
    <t>КД ECO-FIT Plus.туннель.2-стулков</t>
  </si>
  <si>
    <t>dECOr</t>
  </si>
  <si>
    <t>КД ECO-FIT Plus.стандарт.1-стулков.60</t>
  </si>
  <si>
    <t>КД ECO-FIT Plus.стандарт.1-стулков.70</t>
  </si>
  <si>
    <t>КД ECO-FIT Plus.стандарт.1-стулков.80</t>
  </si>
  <si>
    <t>КД ECO-FIT Plus.стандарт.1-стулков.90</t>
  </si>
  <si>
    <t>КД ECO-FIT Plus.стандарт.1-стулков.100</t>
  </si>
  <si>
    <t>КД ECO-FIT Plus.стандарт.2-стулков.(100)</t>
  </si>
  <si>
    <t>КД ECO-FIT Plus.стандарт.2-стулков.(110)</t>
  </si>
  <si>
    <t>КД ECO-FIT Plus.стандарт.2-стулков.(120)</t>
  </si>
  <si>
    <t>КД ECO-FIT Plus.стандарт.2-стулков.(130)</t>
  </si>
  <si>
    <t>КД ECO-FIT Plus.стандарт.2-стулков.(140)</t>
  </si>
  <si>
    <t>КД ECO-FIT Plus.стандарт.2-стулков.(150)</t>
  </si>
  <si>
    <t>КД ECO-FIT Plus.стандарт.2-стулков.(160)</t>
  </si>
  <si>
    <t>КД ECO-FIT Plus.стандарт.2-стулков.(170)</t>
  </si>
  <si>
    <t>КД ECO-FIT Plus.стандарт.2-стулков.(180)</t>
  </si>
  <si>
    <t>КД ECO-FIT Plus.туннель.1-стулков.60</t>
  </si>
  <si>
    <t>КД ECO-FIT Plus.туннель.1-стулков.70</t>
  </si>
  <si>
    <t>КД ECO-FIT Plus.туннель.1-стулков.80</t>
  </si>
  <si>
    <t>КД ECO-FIT Plus.туннель.1-стулков.90</t>
  </si>
  <si>
    <t>КД ECO-FIT Plus.туннель.1-стулков.100</t>
  </si>
  <si>
    <t>КД ECO-FIT Plus.туннель.2-стулков.(100)</t>
  </si>
  <si>
    <t>КД ECO-FIT Plus.туннель.2-стулков.(110)</t>
  </si>
  <si>
    <t>КД ECO-FIT Plus.туннель.2-стулков.(120)</t>
  </si>
  <si>
    <t>КД ECO-FIT Plus.туннель.2-стулков.(130)</t>
  </si>
  <si>
    <t>КД ECO-FIT Plus.туннель.2-стулков.(140)</t>
  </si>
  <si>
    <t>КД ECO-FIT Plus.туннель.2-стулков.(150)</t>
  </si>
  <si>
    <t>КД ECO-FIT Plus.туннель.2-стулков.(160)</t>
  </si>
  <si>
    <t>КД ECO-FIT Plus.туннель.2-стулков.(170)</t>
  </si>
  <si>
    <t>КД ECO-FIT Plus.туннель.2-стулков.(180)</t>
  </si>
  <si>
    <t>КД ECO-FIT Plus.A</t>
  </si>
  <si>
    <t>дверна коробка: ECO-FIT Plus (на ширину 75-95мм)</t>
  </si>
  <si>
    <t>КД ECO-FIT Plus.B</t>
  </si>
  <si>
    <t>дверна коробка: ECO-FIT Plus (на ширину 95-115мм)</t>
  </si>
  <si>
    <t>КД ECO-FIT Plus.B+</t>
  </si>
  <si>
    <t>дверна коробка: ECO-FIT Plus (на ширину 100-120мм)</t>
  </si>
  <si>
    <t>КД ECO-FIT Plus.C</t>
  </si>
  <si>
    <t>дверна коробка: ECO-FIT Plus (на ширину 120-140мм)</t>
  </si>
  <si>
    <t>КД ECO-FIT Plus.D</t>
  </si>
  <si>
    <t>дверна коробка: ECO-FIT Plus (на ширину 140-160мм)</t>
  </si>
  <si>
    <t>КД ECO-FIT Plus.E</t>
  </si>
  <si>
    <t>дверна коробка: ECO-FIT Plus (на ширину 160-180мм)</t>
  </si>
  <si>
    <t>КД ECO-FIT Plus.F</t>
  </si>
  <si>
    <t>дверна коробка: ECO-FIT Plus (на ширину 180-200мм)</t>
  </si>
  <si>
    <t>КД ECO-FIT Plus.G</t>
  </si>
  <si>
    <t>дверна коробка: ECO-FIT Plus (на ширину 200-220мм)</t>
  </si>
  <si>
    <t>КД ECO-FIT Plus.H</t>
  </si>
  <si>
    <t>дверна коробка: ECO-FIT Plus (на ширину 220-240мм)</t>
  </si>
  <si>
    <t>КД ECO-FIT Plus.I</t>
  </si>
  <si>
    <t>дверна коробка: ECO-FIT Plus (на ширину 240-260мм)</t>
  </si>
  <si>
    <t>203 Маренго</t>
  </si>
  <si>
    <t>колір: Маренго (резіст)</t>
  </si>
  <si>
    <t>Лиштва пряма 80мм</t>
  </si>
  <si>
    <t>Лиштва М80</t>
  </si>
  <si>
    <t>Лиштва (пряма): 80мм (МДФ)</t>
  </si>
  <si>
    <t>М80 1кт</t>
  </si>
  <si>
    <t>М80 2кт</t>
  </si>
  <si>
    <t>Лиштва пряма 80мм.ECO-CELL</t>
  </si>
  <si>
    <t>Лиштва пряма 80мм.ECO-Resist</t>
  </si>
  <si>
    <t>Лиштва пряма 80мм.ECO-CELL.1-стулков,</t>
  </si>
  <si>
    <t>Лиштва пряма 80мм.ECO-Resist.1-стулков,</t>
  </si>
  <si>
    <t>Лиштва пряма 80мм.ECO-CELL.2-стулков,</t>
  </si>
  <si>
    <t>Лиштва пряма 80мм.ECO-Resist.2-стулков,</t>
  </si>
  <si>
    <t>Добірна планка 200мм.ECO-Resist.1-стулков,</t>
  </si>
  <si>
    <t>Добірна планка 200мм.ECO-Resist.2-стулков,</t>
  </si>
  <si>
    <t>Планка ECO-FIT 80мм.ECO-Resist.1-стулков</t>
  </si>
  <si>
    <t>Планка ECO-FIT 80мм.ECO-Resist.2-стулков</t>
  </si>
  <si>
    <t>Планка ECO-FIT 160мм.ECO-Resist.1-стулков</t>
  </si>
  <si>
    <t>Планка ECO-FIT 160мм.ECO-Resist.2-стулков</t>
  </si>
  <si>
    <t>Планка ECO-FIT 200мм.ECO-Resist.1-стулков</t>
  </si>
  <si>
    <t>Планка ECO-FIT 200мм.ECO-Resist.2-стулков</t>
  </si>
  <si>
    <t>Плінтус 60мм (від 8 шт).ECO-Resist.2050 мм</t>
  </si>
  <si>
    <t>плінтус: 60мм (МДФ), розмір(мм): 2050</t>
  </si>
  <si>
    <t>плінтус: 80мм (МДФ), розмір(мм): 2050</t>
  </si>
  <si>
    <t>Плінтус 80мм (від 8 шт).ECO-Resist.2050 мм</t>
  </si>
  <si>
    <t>Дверна коробка ECO-FIT-Plus (3 останні цифри позначають діапазон регулювання "від", наприклад РП075: 75-95мм)</t>
  </si>
  <si>
    <t>Лакобель чорний</t>
  </si>
  <si>
    <t>Лутка РПххх</t>
  </si>
  <si>
    <t>ДП NEAPOL</t>
  </si>
  <si>
    <t>ДП Viva.Стандарт</t>
  </si>
  <si>
    <t>ДП Viva</t>
  </si>
  <si>
    <t>ДП Viva.</t>
  </si>
  <si>
    <t>ДП Viva.ВВ</t>
  </si>
  <si>
    <t>ДП Viva.ВП</t>
  </si>
  <si>
    <t>ДП Viva.фальц.робоча</t>
  </si>
  <si>
    <t>ДП Viva.фальц.неробоча</t>
  </si>
  <si>
    <t>ДП Viva.купе.робоча</t>
  </si>
  <si>
    <t>ДП Viva.1</t>
  </si>
  <si>
    <t>ДП ECO-Viva</t>
  </si>
  <si>
    <t>дверне полотно: ECO-Viva</t>
  </si>
  <si>
    <t>ДП Viva.2</t>
  </si>
  <si>
    <t>ДП Viva.3</t>
  </si>
  <si>
    <t>ДП Viva.4</t>
  </si>
  <si>
    <t>ДП Viva.5</t>
  </si>
  <si>
    <t>ДП Viva.6</t>
  </si>
  <si>
    <t>ДП Viva.1A</t>
  </si>
  <si>
    <t>ДП Viva.2A</t>
  </si>
  <si>
    <t>ДП Viva.(ні)</t>
  </si>
  <si>
    <t>ДП Viva.3A</t>
  </si>
  <si>
    <t>ДП Viva.Stand цл Лів +3завіс</t>
  </si>
  <si>
    <t>ДП Viva.4A</t>
  </si>
  <si>
    <t>ДП Viva.Stand цл Пр +3завіс</t>
  </si>
  <si>
    <t>ДП Viva.Stand кл Лів +3завіс</t>
  </si>
  <si>
    <t>ДП Viva.Stand кл Пр +3завіс</t>
  </si>
  <si>
    <t>ДП Viva.Stand ст Лів +3завіс</t>
  </si>
  <si>
    <t>ДП Viva.Stand ст Пр +3завіс</t>
  </si>
  <si>
    <t>ДП Viva.Пл Stand +3завіс</t>
  </si>
  <si>
    <t>ДП Viva.Ручка-Захват</t>
  </si>
  <si>
    <t>ДП Viva.Ручка-Замок</t>
  </si>
  <si>
    <t>ДП Viva.2.Сатин</t>
  </si>
  <si>
    <t>ДП Viva.1.ECO-CELL</t>
  </si>
  <si>
    <t>ДП Viva.1.ECO-Resist</t>
  </si>
  <si>
    <t>ДП Viva.2.ECO-CELL</t>
  </si>
  <si>
    <t>ДП Viva.2.ECO-Resist</t>
  </si>
  <si>
    <t>ДП Viva.100</t>
  </si>
  <si>
    <t>ДП Elit.Стандарт</t>
  </si>
  <si>
    <t>ДП Elit</t>
  </si>
  <si>
    <t>ДП Elit.</t>
  </si>
  <si>
    <t>ДП Elit.ВВ</t>
  </si>
  <si>
    <t>ДП Elit.ВП</t>
  </si>
  <si>
    <t>ДП Elit.фальц.робоча</t>
  </si>
  <si>
    <t>ДП Elit.1</t>
  </si>
  <si>
    <t>ДП ECO-Elit</t>
  </si>
  <si>
    <t>дверне полотно: ECO-Elit</t>
  </si>
  <si>
    <t>ДП Elit.2</t>
  </si>
  <si>
    <t>ДП Elit.фальц.неробоча</t>
  </si>
  <si>
    <t>ДП Elit.2.Сатин</t>
  </si>
  <si>
    <t>ДП Elit.3</t>
  </si>
  <si>
    <t>ДП Elit.купе.робоча</t>
  </si>
  <si>
    <t>ДП Elit.4</t>
  </si>
  <si>
    <t>ДП Elit.(ні)</t>
  </si>
  <si>
    <t>ДП Elit.5</t>
  </si>
  <si>
    <t>ДП Elit.Stand цл Лів +3завіс</t>
  </si>
  <si>
    <t>ДП Elit.6</t>
  </si>
  <si>
    <t>ДП Elit.Stand цл Пр +3завіс</t>
  </si>
  <si>
    <t>ДП Elit.7</t>
  </si>
  <si>
    <t>ДП Elit.Stand кл Лів +3завіс</t>
  </si>
  <si>
    <t>ДП Elit.1A</t>
  </si>
  <si>
    <t>ДП Elit.1.ECO-CELL</t>
  </si>
  <si>
    <t>ДП Elit.Stand кл Пр +3завіс</t>
  </si>
  <si>
    <t>ДП Elit.2A</t>
  </si>
  <si>
    <t>ДП Elit.1.ECO-Resist</t>
  </si>
  <si>
    <t>ДП Elit.Stand ст Лів +3завіс</t>
  </si>
  <si>
    <t>ДП Elit.3A</t>
  </si>
  <si>
    <t>ДП Elit.2.ECO-CELL</t>
  </si>
  <si>
    <t>ДП Elit.Stand ст Пр +3завіс</t>
  </si>
  <si>
    <t>ДП Elit.4A</t>
  </si>
  <si>
    <t>ДП Elit.2.ECO-Resist</t>
  </si>
  <si>
    <t>ДП Elit.Пл Stand +3завіс</t>
  </si>
  <si>
    <t>ДП Elit.Ручка-Захват</t>
  </si>
  <si>
    <t>ДП Elit.Ручка-Замок</t>
  </si>
  <si>
    <t>ДП Elit.100</t>
  </si>
  <si>
    <t>ДП Florencia.Стандарт</t>
  </si>
  <si>
    <t>ДП Florencia</t>
  </si>
  <si>
    <t>ДП Florencia.</t>
  </si>
  <si>
    <t>ДП Florencia.ВВ</t>
  </si>
  <si>
    <t>ДП Florencia.ВП</t>
  </si>
  <si>
    <t>ДП Florencia.фальц.робоча</t>
  </si>
  <si>
    <t>ДП Florencia.фальц.неробоча</t>
  </si>
  <si>
    <t>ДП Florencia.купе.робоча</t>
  </si>
  <si>
    <t>ДП Florencia.1</t>
  </si>
  <si>
    <t>ДП ECO-Florencia</t>
  </si>
  <si>
    <t>дверне полотно: ECO-Florencia</t>
  </si>
  <si>
    <t>ДП Florencia.1.(ні)</t>
  </si>
  <si>
    <t>ДП Florencia.2</t>
  </si>
  <si>
    <t>ДП Florencia.2.Сатин</t>
  </si>
  <si>
    <t>ДП Florencia.(ні)</t>
  </si>
  <si>
    <t>ДП Florencia.Stand цл Лів +3завіс</t>
  </si>
  <si>
    <t>ДП Florencia.Stand цл Пр +3завіс</t>
  </si>
  <si>
    <t>ДП Florencia.Stand кл Лів +3завіс</t>
  </si>
  <si>
    <t>ДП Florencia.Stand кл Пр +3завіс</t>
  </si>
  <si>
    <t>ДП Florencia.Stand ст Лів +3завіс</t>
  </si>
  <si>
    <t>ДП Florencia.Stand ст Пр +3завіс</t>
  </si>
  <si>
    <t>ДП Florencia.Пл Stand +3завіс</t>
  </si>
  <si>
    <t>ДП Florencia.Ручка-Захват</t>
  </si>
  <si>
    <t>ДП Florencia.Ручка-Замок</t>
  </si>
  <si>
    <t>ДП Florencia.1.ECO-CELL</t>
  </si>
  <si>
    <t>ДП Florencia.1.ECO-Resist</t>
  </si>
  <si>
    <t>ДП Florencia.2.ECO-CELL</t>
  </si>
  <si>
    <t>ДП Florencia.2.ECO-Resist</t>
  </si>
  <si>
    <t>ДП Florencia.100</t>
  </si>
  <si>
    <t>ДП Neapol</t>
  </si>
  <si>
    <t>ДП Neapol.1</t>
  </si>
  <si>
    <t>ДП ECO-Neapol</t>
  </si>
  <si>
    <t>дверне полотно: ECO-Neapol</t>
  </si>
  <si>
    <t>ДП Neapol.2</t>
  </si>
  <si>
    <t>ДП Neapol.фальц.робоча</t>
  </si>
  <si>
    <t>ДП Neapol.фальц.неробоча</t>
  </si>
  <si>
    <t>ДП Neapol.купе.робоча</t>
  </si>
  <si>
    <t>ДП Neapol.1.ECO-CELL</t>
  </si>
  <si>
    <t>ДП Neapol.1.ECO-Resist</t>
  </si>
  <si>
    <t>ДП Neapol.2.ECO-CELL</t>
  </si>
  <si>
    <t>ДП Neapol.2.ECO-Resist</t>
  </si>
  <si>
    <t>ДП Neapol.Стандарт</t>
  </si>
  <si>
    <t>ДП Elit.2.Лакобель</t>
  </si>
  <si>
    <t>ДП Florencia.2.Лакобель</t>
  </si>
  <si>
    <t>ДП Viva.2.Лакобель</t>
  </si>
  <si>
    <t>ДП Neapol.2.Сатин</t>
  </si>
  <si>
    <t>ДП Neapol.2.Лакобель</t>
  </si>
  <si>
    <t>ДП Neapol.1.(ні)</t>
  </si>
  <si>
    <t>ДП Neapol.(ні)</t>
  </si>
  <si>
    <t>ДП Neapol.Stand цл Лів +3завіс</t>
  </si>
  <si>
    <t>ДП Neapol.Stand цл Пр +3завіс</t>
  </si>
  <si>
    <t>ДП Neapol.Stand кл Лів +3завіс</t>
  </si>
  <si>
    <t>ДП Neapol.Stand кл Пр +3завіс</t>
  </si>
  <si>
    <t>ДП Neapol.Stand ст Лів +3завіс</t>
  </si>
  <si>
    <t>ДП Neapol.Stand ст Пр +3завіс</t>
  </si>
  <si>
    <t>ДП Neapol.Пл Stand +3завіс</t>
  </si>
  <si>
    <t>ДП Neapol.Ручка-Захват</t>
  </si>
  <si>
    <t>ДП Neapol.Ручка-Замок</t>
  </si>
  <si>
    <t>ДП Neapol.</t>
  </si>
  <si>
    <t>ДП Neapol.ВВ</t>
  </si>
  <si>
    <t>ДП Neapol.ВП</t>
  </si>
  <si>
    <t>ДП Elit.1.Сатин</t>
  </si>
  <si>
    <t>ДП Elit.1.Лакобель</t>
  </si>
  <si>
    <t>Поріг: 80мм (дерево), розмір(мм): 35*2060, покриття: лак</t>
  </si>
  <si>
    <t>Поріг: 80мм (дерево), розмір(мм): 35*1030, покриття: лак</t>
  </si>
  <si>
    <t>Лиштва пряма 80мм.100</t>
  </si>
  <si>
    <t>Лиштва пряма 80мм.200</t>
  </si>
  <si>
    <t>Накладка на завісу біл. мат.</t>
  </si>
  <si>
    <t>Накладка на завісу ( біл. мат.)</t>
  </si>
  <si>
    <t>ДП Viva.1.(ні)</t>
  </si>
  <si>
    <t>126 Дуб грей</t>
  </si>
  <si>
    <t>колір: дуб грей (верто-ціл плюс)</t>
  </si>
  <si>
    <t>127 Горіх крем</t>
  </si>
  <si>
    <t>колір: горіх крем (верто-ціл плюс)</t>
  </si>
  <si>
    <t>ECO-CELL</t>
  </si>
  <si>
    <t>ECO-CELL(акція)</t>
  </si>
  <si>
    <t>125 Дуб катанія</t>
  </si>
  <si>
    <t>колір: дуб катанія (верто-ціл плюс)</t>
  </si>
  <si>
    <t>После окончания акции необходимо убрать со всех таблиц тип декора "ЭКО ЦЕЛЬ АКЦИЯ"</t>
  </si>
  <si>
    <t>Лиштва пряма 60мм.ECO-CELL.2-стулков,</t>
  </si>
  <si>
    <t>Лиштва пряма 60мм.ECO-Resist.2-стулков,</t>
  </si>
  <si>
    <t>151 Біанко</t>
  </si>
  <si>
    <t>колір:біанко (верто-ціл плюс)</t>
  </si>
  <si>
    <t>Літо акція</t>
  </si>
  <si>
    <t>ВЕРСІЯ: 05.00.26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</si>
</sst>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mmyy\/hmm"/>
    <numFmt numFmtId="165" formatCode="#,##0.00_ ;[Red]\-#,##0.00\ "/>
    <numFmt numFmtId="166" formatCode="#,##0.0000"/>
    <numFmt numFmtId="167" formatCode="0.0000"/>
    <numFmt numFmtId="168" formatCode="[$-FC22]d\ mmmm\ yyyy&quot; р.&quot;;@"/>
  </numFmts>
  <fonts count="50" x14ac:knownFonts="1">
    <font>
      <sz val="10"/>
      <name val="Arial Cyr"/>
      <charset val="204"/>
    </font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color indexed="10"/>
      <name val="Arial Cyr"/>
      <charset val="204"/>
    </font>
    <font>
      <sz val="2"/>
      <color indexed="9"/>
      <name val="Arial Cyr"/>
      <charset val="204"/>
    </font>
    <font>
      <u/>
      <sz val="10"/>
      <color indexed="12"/>
      <name val="Arial Cyr"/>
      <charset val="204"/>
    </font>
    <font>
      <sz val="6"/>
      <name val="Arial Cyr"/>
      <charset val="204"/>
    </font>
    <font>
      <sz val="6"/>
      <color indexed="10"/>
      <name val="Arial Cyr"/>
      <charset val="204"/>
    </font>
    <font>
      <b/>
      <sz val="8"/>
      <color indexed="9"/>
      <name val="Times New Roman"/>
      <family val="1"/>
      <charset val="204"/>
    </font>
    <font>
      <sz val="10"/>
      <color indexed="9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23"/>
      <name val="Times New Roman"/>
      <family val="1"/>
      <charset val="204"/>
    </font>
    <font>
      <b/>
      <sz val="8"/>
      <color indexed="12"/>
      <name val="Arial Cyr"/>
      <charset val="204"/>
    </font>
    <font>
      <sz val="8"/>
      <color indexed="12"/>
      <name val="Times New Roman"/>
      <family val="1"/>
      <charset val="204"/>
    </font>
    <font>
      <sz val="8"/>
      <color indexed="12"/>
      <name val="Arial Cyr"/>
      <charset val="204"/>
    </font>
    <font>
      <b/>
      <sz val="8"/>
      <color indexed="12"/>
      <name val="Times New Roman"/>
      <family val="1"/>
      <charset val="204"/>
    </font>
    <font>
      <sz val="8"/>
      <color indexed="10"/>
      <name val="Arial Cyr"/>
      <charset val="204"/>
    </font>
    <font>
      <sz val="8"/>
      <color indexed="10"/>
      <name val="Times New Roman"/>
      <family val="1"/>
      <charset val="204"/>
    </font>
    <font>
      <b/>
      <sz val="8"/>
      <color indexed="17"/>
      <name val="Arial Cyr"/>
      <charset val="204"/>
    </font>
    <font>
      <sz val="8"/>
      <color indexed="9"/>
      <name val="Times New Roman"/>
      <family val="1"/>
      <charset val="204"/>
    </font>
    <font>
      <sz val="8"/>
      <color indexed="17"/>
      <name val="Arial Cyr"/>
      <charset val="204"/>
    </font>
    <font>
      <b/>
      <sz val="10"/>
      <color indexed="17"/>
      <name val="Arial Cyr"/>
      <charset val="204"/>
    </font>
    <font>
      <sz val="10"/>
      <name val="Arial Cyr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7"/>
      <color indexed="10"/>
      <name val="Times New Roman"/>
      <family val="1"/>
      <charset val="204"/>
    </font>
    <font>
      <sz val="6"/>
      <color indexed="12"/>
      <name val="Times New Roman"/>
      <family val="1"/>
      <charset val="204"/>
    </font>
    <font>
      <b/>
      <sz val="7"/>
      <color indexed="23"/>
      <name val="Times New Roman"/>
      <family val="1"/>
      <charset val="204"/>
    </font>
    <font>
      <sz val="7"/>
      <color indexed="23"/>
      <name val="Times New Roman"/>
      <family val="1"/>
      <charset val="204"/>
    </font>
    <font>
      <sz val="8"/>
      <color indexed="23"/>
      <name val="Arial Cyr"/>
      <charset val="204"/>
    </font>
    <font>
      <sz val="8"/>
      <name val="Arial Narrow"/>
      <family val="2"/>
      <charset val="204"/>
    </font>
    <font>
      <sz val="6"/>
      <name val="Arial Narrow"/>
      <family val="2"/>
      <charset val="204"/>
    </font>
    <font>
      <sz val="7"/>
      <name val="Arial Narrow"/>
      <family val="2"/>
      <charset val="204"/>
    </font>
    <font>
      <sz val="8"/>
      <color indexed="23"/>
      <name val="Arial Narrow"/>
      <family val="2"/>
      <charset val="204"/>
    </font>
    <font>
      <b/>
      <sz val="10"/>
      <name val="Times New Roman"/>
      <family val="1"/>
      <charset val="204"/>
    </font>
    <font>
      <sz val="8"/>
      <color theme="0"/>
      <name val="Arial Cyr"/>
      <charset val="204"/>
    </font>
    <font>
      <b/>
      <sz val="8"/>
      <color theme="0"/>
      <name val="Arial Cyr"/>
      <charset val="204"/>
    </font>
    <font>
      <sz val="6"/>
      <color rgb="FFFF0000"/>
      <name val="Times New Roman"/>
      <family val="1"/>
      <charset val="204"/>
    </font>
    <font>
      <b/>
      <sz val="8"/>
      <color rgb="FF0070C0"/>
      <name val="Arial Cyr"/>
      <charset val="204"/>
    </font>
    <font>
      <sz val="8"/>
      <color theme="0" tint="-0.499984740745262"/>
      <name val="Arial Cyr"/>
      <charset val="204"/>
    </font>
    <font>
      <i/>
      <sz val="8"/>
      <color theme="0"/>
      <name val="Times New Roman"/>
      <family val="1"/>
      <charset val="204"/>
    </font>
    <font>
      <b/>
      <sz val="16"/>
      <color rgb="FFFF0000"/>
      <name val="Arial Cyr"/>
      <charset val="204"/>
    </font>
    <font>
      <b/>
      <sz val="12"/>
      <color theme="0"/>
      <name val="Arial Cyr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1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hair">
        <color indexed="23"/>
      </bottom>
      <diagonal/>
    </border>
    <border>
      <left style="medium">
        <color indexed="10"/>
      </left>
      <right style="medium">
        <color indexed="10"/>
      </right>
      <top style="hair">
        <color indexed="23"/>
      </top>
      <bottom style="hair">
        <color indexed="23"/>
      </bottom>
      <diagonal/>
    </border>
    <border>
      <left style="medium">
        <color indexed="10"/>
      </left>
      <right style="medium">
        <color indexed="10"/>
      </right>
      <top style="hair">
        <color indexed="23"/>
      </top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medium">
        <color indexed="10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medium">
        <color indexed="10"/>
      </left>
      <right style="medium">
        <color indexed="10"/>
      </right>
      <top/>
      <bottom style="hair">
        <color indexed="23"/>
      </bottom>
      <diagonal/>
    </border>
    <border>
      <left/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hair">
        <color indexed="12"/>
      </right>
      <top style="hair">
        <color indexed="12"/>
      </top>
      <bottom/>
      <diagonal/>
    </border>
    <border>
      <left style="hair">
        <color indexed="12"/>
      </left>
      <right style="hair">
        <color indexed="12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64"/>
      </top>
      <bottom style="medium">
        <color indexed="10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64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64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23"/>
      </top>
      <bottom/>
      <diagonal/>
    </border>
    <border>
      <left style="medium">
        <color indexed="10"/>
      </left>
      <right style="thin">
        <color indexed="64"/>
      </right>
      <top style="hair">
        <color indexed="23"/>
      </top>
      <bottom/>
      <diagonal/>
    </border>
    <border>
      <left style="hair">
        <color indexed="12"/>
      </left>
      <right style="hair">
        <color indexed="12"/>
      </right>
      <top style="medium">
        <color indexed="12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hair">
        <color indexed="64"/>
      </bottom>
      <diagonal/>
    </border>
    <border>
      <left/>
      <right style="medium">
        <color rgb="FFFF0000"/>
      </right>
      <top/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/>
      <diagonal/>
    </border>
    <border>
      <left/>
      <right style="medium">
        <color rgb="FFFF0000"/>
      </right>
      <top style="hair">
        <color indexed="64"/>
      </top>
      <bottom/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 style="hair">
        <color indexed="64"/>
      </bottom>
      <diagonal/>
    </border>
    <border>
      <left/>
      <right/>
      <top style="medium">
        <color rgb="FFFF0000"/>
      </top>
      <bottom style="hair">
        <color indexed="64"/>
      </bottom>
      <diagonal/>
    </border>
    <border>
      <left/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 style="medium">
        <color rgb="FFFF0000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/>
      <top/>
      <bottom style="medium">
        <color theme="5" tint="-0.2499465926084170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806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2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4" fillId="0" borderId="1" xfId="0" applyFont="1" applyBorder="1" applyProtection="1">
      <protection hidden="1"/>
    </xf>
    <xf numFmtId="0" fontId="0" fillId="0" borderId="0" xfId="0" applyBorder="1" applyProtection="1">
      <protection hidden="1"/>
    </xf>
    <xf numFmtId="0" fontId="4" fillId="0" borderId="0" xfId="0" applyFont="1" applyBorder="1" applyProtection="1"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2" fillId="2" borderId="4" xfId="0" applyFont="1" applyFill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Border="1" applyProtection="1">
      <protection hidden="1"/>
    </xf>
    <xf numFmtId="0" fontId="0" fillId="0" borderId="5" xfId="0" applyBorder="1"/>
    <xf numFmtId="0" fontId="6" fillId="3" borderId="6" xfId="0" applyFont="1" applyFill="1" applyBorder="1" applyAlignment="1">
      <alignment horizontal="center"/>
    </xf>
    <xf numFmtId="0" fontId="10" fillId="0" borderId="0" xfId="0" applyFont="1" applyProtection="1">
      <protection hidden="1"/>
    </xf>
    <xf numFmtId="0" fontId="7" fillId="0" borderId="7" xfId="0" applyFont="1" applyBorder="1" applyProtection="1">
      <protection hidden="1"/>
    </xf>
    <xf numFmtId="0" fontId="7" fillId="0" borderId="8" xfId="0" applyFont="1" applyBorder="1" applyProtection="1">
      <protection hidden="1"/>
    </xf>
    <xf numFmtId="0" fontId="7" fillId="0" borderId="9" xfId="0" applyFont="1" applyBorder="1" applyProtection="1"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7" fillId="0" borderId="10" xfId="0" applyFont="1" applyBorder="1" applyProtection="1">
      <protection hidden="1"/>
    </xf>
    <xf numFmtId="0" fontId="7" fillId="0" borderId="11" xfId="0" applyFont="1" applyBorder="1" applyProtection="1">
      <protection hidden="1"/>
    </xf>
    <xf numFmtId="0" fontId="7" fillId="0" borderId="12" xfId="0" applyFont="1" applyBorder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2" fillId="4" borderId="4" xfId="0" applyFont="1" applyFill="1" applyBorder="1" applyAlignment="1" applyProtection="1">
      <alignment horizontal="center" wrapText="1"/>
      <protection hidden="1"/>
    </xf>
    <xf numFmtId="0" fontId="2" fillId="4" borderId="3" xfId="0" applyFont="1" applyFill="1" applyBorder="1" applyAlignment="1" applyProtection="1">
      <alignment horizontal="center" wrapText="1"/>
      <protection hidden="1"/>
    </xf>
    <xf numFmtId="0" fontId="9" fillId="0" borderId="5" xfId="0" applyFont="1" applyBorder="1"/>
    <xf numFmtId="0" fontId="6" fillId="0" borderId="13" xfId="0" applyFont="1" applyBorder="1" applyAlignment="1">
      <alignment horizontal="left" vertical="center"/>
    </xf>
    <xf numFmtId="49" fontId="7" fillId="0" borderId="13" xfId="0" applyNumberFormat="1" applyFont="1" applyBorder="1" applyAlignment="1">
      <alignment horizontal="left" vertical="center"/>
    </xf>
    <xf numFmtId="0" fontId="6" fillId="3" borderId="6" xfId="0" applyFont="1" applyFill="1" applyBorder="1" applyAlignment="1">
      <alignment horizontal="left"/>
    </xf>
    <xf numFmtId="0" fontId="0" fillId="0" borderId="0" xfId="0" applyBorder="1"/>
    <xf numFmtId="0" fontId="6" fillId="0" borderId="14" xfId="0" applyFont="1" applyBorder="1" applyAlignment="1">
      <alignment horizontal="left" vertical="center"/>
    </xf>
    <xf numFmtId="0" fontId="6" fillId="0" borderId="13" xfId="0" applyFont="1" applyFill="1" applyBorder="1" applyAlignment="1" applyProtection="1">
      <alignment horizontal="left"/>
      <protection hidden="1"/>
    </xf>
    <xf numFmtId="0" fontId="7" fillId="0" borderId="13" xfId="0" applyFont="1" applyBorder="1" applyAlignment="1" applyProtection="1">
      <protection hidden="1"/>
    </xf>
    <xf numFmtId="49" fontId="7" fillId="0" borderId="13" xfId="0" applyNumberFormat="1" applyFont="1" applyBorder="1" applyAlignment="1">
      <alignment vertical="center"/>
    </xf>
    <xf numFmtId="0" fontId="7" fillId="0" borderId="13" xfId="0" applyFont="1" applyBorder="1" applyProtection="1">
      <protection hidden="1"/>
    </xf>
    <xf numFmtId="0" fontId="6" fillId="0" borderId="13" xfId="0" applyFont="1" applyBorder="1" applyProtection="1">
      <protection hidden="1"/>
    </xf>
    <xf numFmtId="0" fontId="2" fillId="5" borderId="4" xfId="0" applyFont="1" applyFill="1" applyBorder="1" applyAlignment="1" applyProtection="1">
      <alignment horizontal="center" wrapText="1"/>
      <protection hidden="1"/>
    </xf>
    <xf numFmtId="0" fontId="2" fillId="3" borderId="2" xfId="0" applyFont="1" applyFill="1" applyBorder="1" applyAlignment="1" applyProtection="1">
      <alignment horizontal="center" wrapText="1"/>
      <protection hidden="1"/>
    </xf>
    <xf numFmtId="0" fontId="2" fillId="3" borderId="4" xfId="0" applyFont="1" applyFill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49" fontId="7" fillId="0" borderId="15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49" fontId="7" fillId="0" borderId="13" xfId="0" applyNumberFormat="1" applyFont="1" applyFill="1" applyBorder="1" applyAlignment="1">
      <alignment horizontal="left" vertical="center"/>
    </xf>
    <xf numFmtId="49" fontId="6" fillId="0" borderId="13" xfId="0" applyNumberFormat="1" applyFont="1" applyFill="1" applyBorder="1" applyAlignment="1">
      <alignment horizontal="left" vertical="center"/>
    </xf>
    <xf numFmtId="0" fontId="6" fillId="0" borderId="13" xfId="0" applyFont="1" applyFill="1" applyBorder="1" applyProtection="1">
      <protection hidden="1"/>
    </xf>
    <xf numFmtId="49" fontId="6" fillId="0" borderId="15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/>
    </xf>
    <xf numFmtId="0" fontId="7" fillId="0" borderId="13" xfId="0" applyFont="1" applyBorder="1"/>
    <xf numFmtId="49" fontId="7" fillId="0" borderId="14" xfId="0" applyNumberFormat="1" applyFont="1" applyFill="1" applyBorder="1" applyAlignment="1">
      <alignment horizontal="left" vertical="center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2" fillId="6" borderId="2" xfId="0" applyFont="1" applyFill="1" applyBorder="1" applyAlignment="1" applyProtection="1">
      <alignment horizontal="center" wrapText="1"/>
      <protection hidden="1"/>
    </xf>
    <xf numFmtId="0" fontId="2" fillId="6" borderId="4" xfId="0" applyFont="1" applyFill="1" applyBorder="1" applyAlignment="1" applyProtection="1">
      <alignment horizontal="center" wrapText="1"/>
      <protection hidden="1"/>
    </xf>
    <xf numFmtId="0" fontId="6" fillId="3" borderId="16" xfId="0" applyFont="1" applyFill="1" applyBorder="1" applyAlignment="1">
      <alignment horizontal="left"/>
    </xf>
    <xf numFmtId="0" fontId="9" fillId="3" borderId="16" xfId="0" applyFont="1" applyFill="1" applyBorder="1" applyAlignment="1">
      <alignment horizontal="center"/>
    </xf>
    <xf numFmtId="2" fontId="13" fillId="0" borderId="15" xfId="0" applyNumberFormat="1" applyFont="1" applyBorder="1" applyAlignment="1">
      <alignment horizontal="left" vertical="center"/>
    </xf>
    <xf numFmtId="2" fontId="13" fillId="0" borderId="13" xfId="0" applyNumberFormat="1" applyFont="1" applyBorder="1" applyAlignment="1">
      <alignment horizontal="left" vertical="center"/>
    </xf>
    <xf numFmtId="0" fontId="2" fillId="5" borderId="17" xfId="0" applyFont="1" applyFill="1" applyBorder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3" fillId="5" borderId="18" xfId="0" applyFont="1" applyFill="1" applyBorder="1" applyAlignment="1" applyProtection="1">
      <alignment horizontal="center"/>
      <protection hidden="1"/>
    </xf>
    <xf numFmtId="0" fontId="3" fillId="5" borderId="19" xfId="0" applyFont="1" applyFill="1" applyBorder="1" applyAlignment="1" applyProtection="1">
      <alignment horizontal="center"/>
      <protection hidden="1"/>
    </xf>
    <xf numFmtId="0" fontId="3" fillId="5" borderId="19" xfId="0" applyFont="1" applyFill="1" applyBorder="1" applyAlignment="1" applyProtection="1">
      <alignment horizontal="center" wrapText="1"/>
      <protection hidden="1"/>
    </xf>
    <xf numFmtId="0" fontId="3" fillId="5" borderId="20" xfId="0" applyFont="1" applyFill="1" applyBorder="1" applyAlignment="1" applyProtection="1">
      <alignment horizontal="center"/>
      <protection hidden="1"/>
    </xf>
    <xf numFmtId="0" fontId="3" fillId="5" borderId="21" xfId="0" applyFont="1" applyFill="1" applyBorder="1" applyAlignment="1" applyProtection="1">
      <alignment horizontal="center"/>
      <protection hidden="1"/>
    </xf>
    <xf numFmtId="3" fontId="12" fillId="0" borderId="0" xfId="0" applyNumberFormat="1" applyFont="1" applyProtection="1">
      <protection hidden="1"/>
    </xf>
    <xf numFmtId="0" fontId="2" fillId="7" borderId="4" xfId="0" applyFont="1" applyFill="1" applyBorder="1" applyAlignment="1" applyProtection="1">
      <alignment horizontal="center" wrapText="1"/>
      <protection hidden="1"/>
    </xf>
    <xf numFmtId="14" fontId="2" fillId="0" borderId="14" xfId="0" applyNumberFormat="1" applyFont="1" applyFill="1" applyBorder="1" applyAlignment="1" applyProtection="1">
      <alignment horizontal="center"/>
      <protection hidden="1"/>
    </xf>
    <xf numFmtId="49" fontId="6" fillId="0" borderId="13" xfId="0" applyNumberFormat="1" applyFont="1" applyBorder="1" applyAlignment="1">
      <alignment horizontal="left" vertical="center"/>
    </xf>
    <xf numFmtId="0" fontId="2" fillId="7" borderId="17" xfId="0" applyFont="1" applyFill="1" applyBorder="1" applyAlignment="1" applyProtection="1">
      <alignment horizontal="center" wrapText="1"/>
      <protection hidden="1"/>
    </xf>
    <xf numFmtId="0" fontId="0" fillId="0" borderId="14" xfId="0" applyBorder="1" applyProtection="1">
      <protection hidden="1"/>
    </xf>
    <xf numFmtId="0" fontId="3" fillId="0" borderId="14" xfId="0" applyFont="1" applyBorder="1" applyAlignment="1" applyProtection="1">
      <alignment horizontal="right"/>
      <protection hidden="1"/>
    </xf>
    <xf numFmtId="49" fontId="3" fillId="0" borderId="0" xfId="0" applyNumberFormat="1" applyFont="1" applyFill="1" applyBorder="1" applyAlignment="1" applyProtection="1">
      <alignment horizontal="right" vertical="center" wrapText="1"/>
      <protection hidden="1"/>
    </xf>
    <xf numFmtId="49" fontId="3" fillId="0" borderId="0" xfId="0" applyNumberFormat="1" applyFont="1" applyBorder="1" applyAlignment="1" applyProtection="1">
      <alignment horizontal="right" vertical="center" wrapText="1"/>
      <protection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6" fillId="0" borderId="15" xfId="0" applyFont="1" applyFill="1" applyBorder="1" applyAlignment="1" applyProtection="1">
      <alignment horizontal="left"/>
      <protection hidden="1"/>
    </xf>
    <xf numFmtId="0" fontId="7" fillId="5" borderId="13" xfId="0" applyFont="1" applyFill="1" applyBorder="1" applyProtection="1">
      <protection hidden="1"/>
    </xf>
    <xf numFmtId="0" fontId="7" fillId="5" borderId="13" xfId="0" applyFont="1" applyFill="1" applyBorder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Protection="1">
      <protection hidden="1"/>
    </xf>
    <xf numFmtId="49" fontId="7" fillId="0" borderId="13" xfId="0" applyNumberFormat="1" applyFont="1" applyBorder="1" applyProtection="1">
      <protection hidden="1"/>
    </xf>
    <xf numFmtId="0" fontId="6" fillId="0" borderId="13" xfId="0" applyFont="1" applyBorder="1" applyAlignment="1" applyProtection="1">
      <alignment horizontal="left"/>
      <protection hidden="1"/>
    </xf>
    <xf numFmtId="0" fontId="7" fillId="0" borderId="22" xfId="0" applyFont="1" applyBorder="1" applyProtection="1">
      <protection hidden="1"/>
    </xf>
    <xf numFmtId="0" fontId="7" fillId="5" borderId="22" xfId="0" applyFont="1" applyFill="1" applyBorder="1" applyProtection="1">
      <protection hidden="1"/>
    </xf>
    <xf numFmtId="49" fontId="7" fillId="0" borderId="22" xfId="0" applyNumberFormat="1" applyFont="1" applyBorder="1" applyProtection="1">
      <protection hidden="1"/>
    </xf>
    <xf numFmtId="0" fontId="18" fillId="0" borderId="23" xfId="0" applyFont="1" applyFill="1" applyBorder="1" applyProtection="1">
      <protection hidden="1"/>
    </xf>
    <xf numFmtId="4" fontId="7" fillId="0" borderId="13" xfId="0" applyNumberFormat="1" applyFont="1" applyBorder="1"/>
    <xf numFmtId="0" fontId="6" fillId="3" borderId="6" xfId="0" applyFont="1" applyFill="1" applyBorder="1" applyAlignment="1">
      <alignment horizontal="right"/>
    </xf>
    <xf numFmtId="4" fontId="7" fillId="0" borderId="13" xfId="0" applyNumberFormat="1" applyFont="1" applyFill="1" applyBorder="1"/>
    <xf numFmtId="0" fontId="6" fillId="0" borderId="23" xfId="0" applyFont="1" applyBorder="1" applyAlignment="1" applyProtection="1">
      <alignment horizontal="right"/>
      <protection hidden="1"/>
    </xf>
    <xf numFmtId="4" fontId="6" fillId="0" borderId="13" xfId="0" applyNumberFormat="1" applyFont="1" applyFill="1" applyBorder="1"/>
    <xf numFmtId="0" fontId="6" fillId="0" borderId="14" xfId="0" applyFont="1" applyFill="1" applyBorder="1" applyAlignment="1">
      <alignment horizontal="left"/>
    </xf>
    <xf numFmtId="165" fontId="2" fillId="4" borderId="3" xfId="0" applyNumberFormat="1" applyFont="1" applyFill="1" applyBorder="1" applyAlignment="1" applyProtection="1">
      <alignment horizontal="right" wrapText="1"/>
      <protection hidden="1"/>
    </xf>
    <xf numFmtId="0" fontId="19" fillId="0" borderId="24" xfId="0" applyFont="1" applyFill="1" applyBorder="1" applyAlignment="1" applyProtection="1">
      <alignment horizontal="right" wrapText="1"/>
      <protection hidden="1"/>
    </xf>
    <xf numFmtId="0" fontId="3" fillId="0" borderId="25" xfId="0" applyFont="1" applyBorder="1" applyAlignment="1" applyProtection="1">
      <alignment horizontal="left" wrapText="1"/>
      <protection locked="0" hidden="1"/>
    </xf>
    <xf numFmtId="0" fontId="3" fillId="0" borderId="21" xfId="0" applyFont="1" applyFill="1" applyBorder="1" applyAlignment="1" applyProtection="1">
      <alignment horizontal="left" wrapText="1"/>
      <protection locked="0" hidden="1"/>
    </xf>
    <xf numFmtId="1" fontId="3" fillId="0" borderId="21" xfId="0" applyNumberFormat="1" applyFont="1" applyFill="1" applyBorder="1" applyAlignment="1" applyProtection="1">
      <alignment horizontal="left" wrapText="1"/>
      <protection locked="0" hidden="1"/>
    </xf>
    <xf numFmtId="0" fontId="3" fillId="0" borderId="25" xfId="0" applyFont="1" applyFill="1" applyBorder="1" applyAlignment="1" applyProtection="1">
      <alignment horizontal="left" wrapText="1"/>
      <protection locked="0" hidden="1"/>
    </xf>
    <xf numFmtId="1" fontId="3" fillId="0" borderId="25" xfId="0" applyNumberFormat="1" applyFont="1" applyFill="1" applyBorder="1" applyAlignment="1" applyProtection="1">
      <alignment horizontal="left" wrapText="1"/>
      <protection locked="0" hidden="1"/>
    </xf>
    <xf numFmtId="1" fontId="3" fillId="0" borderId="26" xfId="0" applyNumberFormat="1" applyFont="1" applyFill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left"/>
      <protection hidden="1"/>
    </xf>
    <xf numFmtId="0" fontId="18" fillId="3" borderId="27" xfId="0" applyFont="1" applyFill="1" applyBorder="1" applyAlignment="1">
      <alignment horizontal="center"/>
    </xf>
    <xf numFmtId="4" fontId="7" fillId="0" borderId="28" xfId="0" applyNumberFormat="1" applyFont="1" applyBorder="1"/>
    <xf numFmtId="0" fontId="7" fillId="0" borderId="28" xfId="0" applyFont="1" applyBorder="1" applyProtection="1">
      <protection hidden="1"/>
    </xf>
    <xf numFmtId="0" fontId="7" fillId="0" borderId="0" xfId="0" applyFont="1" applyFill="1" applyProtection="1">
      <protection hidden="1"/>
    </xf>
    <xf numFmtId="49" fontId="19" fillId="0" borderId="13" xfId="0" applyNumberFormat="1" applyFont="1" applyBorder="1" applyAlignment="1" applyProtection="1">
      <alignment horizontal="center" wrapText="1"/>
      <protection locked="0" hidden="1"/>
    </xf>
    <xf numFmtId="166" fontId="3" fillId="0" borderId="13" xfId="0" applyNumberFormat="1" applyFont="1" applyBorder="1" applyAlignment="1" applyProtection="1">
      <alignment wrapText="1"/>
      <protection locked="0" hidden="1"/>
    </xf>
    <xf numFmtId="0" fontId="9" fillId="0" borderId="0" xfId="0" applyFont="1" applyProtection="1">
      <protection hidden="1"/>
    </xf>
    <xf numFmtId="9" fontId="7" fillId="0" borderId="29" xfId="0" applyNumberFormat="1" applyFont="1" applyBorder="1" applyProtection="1">
      <protection hidden="1"/>
    </xf>
    <xf numFmtId="9" fontId="7" fillId="0" borderId="30" xfId="0" applyNumberFormat="1" applyFont="1" applyBorder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3" fontId="7" fillId="0" borderId="0" xfId="0" applyNumberFormat="1" applyFont="1" applyProtection="1">
      <protection hidden="1"/>
    </xf>
    <xf numFmtId="3" fontId="0" fillId="0" borderId="0" xfId="0" applyNumberFormat="1" applyProtection="1">
      <protection hidden="1"/>
    </xf>
    <xf numFmtId="3" fontId="6" fillId="0" borderId="0" xfId="0" applyNumberFormat="1" applyFont="1" applyProtection="1">
      <protection hidden="1"/>
    </xf>
    <xf numFmtId="3" fontId="6" fillId="0" borderId="0" xfId="0" applyNumberFormat="1" applyFon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0" fontId="6" fillId="0" borderId="22" xfId="0" applyFont="1" applyBorder="1" applyAlignment="1">
      <alignment horizontal="left" vertical="center"/>
    </xf>
    <xf numFmtId="49" fontId="7" fillId="0" borderId="22" xfId="0" applyNumberFormat="1" applyFont="1" applyFill="1" applyBorder="1" applyAlignment="1">
      <alignment horizontal="left" vertical="center"/>
    </xf>
    <xf numFmtId="2" fontId="13" fillId="0" borderId="22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2" fontId="13" fillId="0" borderId="0" xfId="0" applyNumberFormat="1" applyFont="1" applyBorder="1" applyAlignment="1">
      <alignment horizontal="left" vertical="center"/>
    </xf>
    <xf numFmtId="2" fontId="13" fillId="0" borderId="14" xfId="0" applyNumberFormat="1" applyFont="1" applyBorder="1" applyAlignment="1">
      <alignment horizontal="left" vertical="center"/>
    </xf>
    <xf numFmtId="49" fontId="7" fillId="0" borderId="8" xfId="0" applyNumberFormat="1" applyFont="1" applyFill="1" applyBorder="1" applyAlignment="1">
      <alignment horizontal="left" vertical="center"/>
    </xf>
    <xf numFmtId="2" fontId="13" fillId="0" borderId="8" xfId="0" applyNumberFormat="1" applyFont="1" applyBorder="1" applyAlignment="1">
      <alignment horizontal="left" vertical="center"/>
    </xf>
    <xf numFmtId="0" fontId="6" fillId="0" borderId="22" xfId="0" applyFont="1" applyFill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0" borderId="14" xfId="0" applyFont="1" applyFill="1" applyBorder="1" applyAlignment="1" applyProtection="1">
      <alignment horizontal="left"/>
      <protection hidden="1"/>
    </xf>
    <xf numFmtId="49" fontId="6" fillId="0" borderId="22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14" xfId="0" applyNumberFormat="1" applyFont="1" applyFill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49" fontId="7" fillId="0" borderId="22" xfId="0" applyNumberFormat="1" applyFont="1" applyBorder="1" applyAlignment="1">
      <alignment horizontal="left" vertical="center"/>
    </xf>
    <xf numFmtId="49" fontId="7" fillId="0" borderId="0" xfId="0" applyNumberFormat="1" applyFont="1" applyBorder="1" applyProtection="1">
      <protection hidden="1"/>
    </xf>
    <xf numFmtId="49" fontId="7" fillId="0" borderId="14" xfId="0" applyNumberFormat="1" applyFont="1" applyBorder="1" applyProtection="1">
      <protection hidden="1"/>
    </xf>
    <xf numFmtId="0" fontId="6" fillId="0" borderId="22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6" fillId="0" borderId="14" xfId="0" applyFont="1" applyBorder="1" applyProtection="1">
      <protection hidden="1"/>
    </xf>
    <xf numFmtId="0" fontId="7" fillId="0" borderId="22" xfId="0" applyFont="1" applyBorder="1" applyAlignment="1" applyProtection="1">
      <protection hidden="1"/>
    </xf>
    <xf numFmtId="0" fontId="7" fillId="0" borderId="0" xfId="0" applyFont="1" applyBorder="1" applyAlignment="1" applyProtection="1">
      <protection hidden="1"/>
    </xf>
    <xf numFmtId="0" fontId="7" fillId="0" borderId="14" xfId="0" applyFont="1" applyBorder="1" applyAlignment="1" applyProtection="1">
      <protection hidden="1"/>
    </xf>
    <xf numFmtId="0" fontId="7" fillId="5" borderId="0" xfId="0" applyFont="1" applyFill="1" applyBorder="1" applyProtection="1">
      <protection hidden="1"/>
    </xf>
    <xf numFmtId="0" fontId="7" fillId="5" borderId="14" xfId="0" applyFont="1" applyFill="1" applyBorder="1" applyProtection="1"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6" fillId="0" borderId="22" xfId="0" applyFont="1" applyFill="1" applyBorder="1" applyAlignment="1">
      <alignment horizontal="left"/>
    </xf>
    <xf numFmtId="4" fontId="7" fillId="0" borderId="22" xfId="0" applyNumberFormat="1" applyFont="1" applyFill="1" applyBorder="1"/>
    <xf numFmtId="4" fontId="7" fillId="0" borderId="14" xfId="0" applyNumberFormat="1" applyFont="1" applyFill="1" applyBorder="1"/>
    <xf numFmtId="0" fontId="6" fillId="0" borderId="0" xfId="0" applyFont="1" applyFill="1" applyBorder="1" applyAlignment="1">
      <alignment horizontal="left"/>
    </xf>
    <xf numFmtId="4" fontId="7" fillId="0" borderId="0" xfId="0" applyNumberFormat="1" applyFont="1" applyFill="1" applyBorder="1"/>
    <xf numFmtId="0" fontId="2" fillId="6" borderId="2" xfId="0" applyFont="1" applyFill="1" applyBorder="1" applyAlignment="1" applyProtection="1">
      <alignment horizontal="left" wrapText="1" indent="1"/>
      <protection hidden="1"/>
    </xf>
    <xf numFmtId="0" fontId="2" fillId="6" borderId="3" xfId="0" applyFont="1" applyFill="1" applyBorder="1" applyAlignment="1" applyProtection="1">
      <alignment horizontal="left" wrapText="1" indent="1"/>
      <protection hidden="1"/>
    </xf>
    <xf numFmtId="0" fontId="6" fillId="0" borderId="24" xfId="0" applyFont="1" applyBorder="1" applyAlignment="1" applyProtection="1">
      <alignment horizontal="center"/>
      <protection hidden="1"/>
    </xf>
    <xf numFmtId="0" fontId="3" fillId="0" borderId="26" xfId="0" applyFont="1" applyFill="1" applyBorder="1" applyAlignment="1" applyProtection="1">
      <alignment horizontal="left" wrapText="1"/>
      <protection locked="0" hidden="1"/>
    </xf>
    <xf numFmtId="0" fontId="3" fillId="0" borderId="31" xfId="0" applyFont="1" applyFill="1" applyBorder="1" applyAlignment="1" applyProtection="1">
      <alignment horizontal="left" wrapText="1"/>
      <protection locked="0" hidden="1"/>
    </xf>
    <xf numFmtId="0" fontId="2" fillId="0" borderId="3" xfId="0" applyFont="1" applyBorder="1" applyProtection="1">
      <protection hidden="1"/>
    </xf>
    <xf numFmtId="0" fontId="0" fillId="0" borderId="3" xfId="0" applyBorder="1" applyProtection="1">
      <protection hidden="1"/>
    </xf>
    <xf numFmtId="0" fontId="8" fillId="0" borderId="3" xfId="0" applyFont="1" applyBorder="1" applyProtection="1">
      <protection hidden="1"/>
    </xf>
    <xf numFmtId="0" fontId="3" fillId="0" borderId="32" xfId="0" applyFont="1" applyFill="1" applyBorder="1" applyAlignment="1" applyProtection="1">
      <alignment horizontal="left" wrapText="1"/>
      <protection locked="0" hidden="1"/>
    </xf>
    <xf numFmtId="0" fontId="3" fillId="0" borderId="33" xfId="0" applyFont="1" applyFill="1" applyBorder="1" applyAlignment="1" applyProtection="1">
      <alignment horizontal="left" wrapText="1"/>
      <protection locked="0" hidden="1"/>
    </xf>
    <xf numFmtId="0" fontId="4" fillId="0" borderId="3" xfId="0" applyFont="1" applyBorder="1" applyProtection="1">
      <protection hidden="1"/>
    </xf>
    <xf numFmtId="0" fontId="3" fillId="5" borderId="34" xfId="0" applyFont="1" applyFill="1" applyBorder="1" applyAlignment="1" applyProtection="1">
      <alignment horizontal="center"/>
      <protection hidden="1"/>
    </xf>
    <xf numFmtId="0" fontId="3" fillId="5" borderId="26" xfId="0" applyFont="1" applyFill="1" applyBorder="1" applyAlignment="1" applyProtection="1">
      <alignment horizontal="center"/>
      <protection hidden="1"/>
    </xf>
    <xf numFmtId="0" fontId="3" fillId="0" borderId="32" xfId="0" applyFont="1" applyBorder="1" applyAlignment="1" applyProtection="1">
      <alignment horizontal="left" wrapText="1"/>
      <protection locked="0" hidden="1"/>
    </xf>
    <xf numFmtId="0" fontId="3" fillId="0" borderId="33" xfId="0" applyFont="1" applyBorder="1" applyAlignment="1" applyProtection="1">
      <alignment horizontal="left" wrapText="1"/>
      <protection locked="0" hidden="1"/>
    </xf>
    <xf numFmtId="1" fontId="3" fillId="0" borderId="31" xfId="0" applyNumberFormat="1" applyFont="1" applyFill="1" applyBorder="1" applyAlignment="1" applyProtection="1">
      <alignment horizontal="left" wrapText="1"/>
      <protection locked="0" hidden="1"/>
    </xf>
    <xf numFmtId="0" fontId="2" fillId="0" borderId="35" xfId="0" applyFont="1" applyBorder="1" applyProtection="1">
      <protection hidden="1"/>
    </xf>
    <xf numFmtId="0" fontId="0" fillId="0" borderId="35" xfId="0" applyBorder="1" applyProtection="1">
      <protection hidden="1"/>
    </xf>
    <xf numFmtId="0" fontId="4" fillId="0" borderId="35" xfId="0" applyFont="1" applyBorder="1" applyProtection="1">
      <protection hidden="1"/>
    </xf>
    <xf numFmtId="0" fontId="8" fillId="0" borderId="35" xfId="0" applyFont="1" applyBorder="1" applyProtection="1">
      <protection hidden="1"/>
    </xf>
    <xf numFmtId="165" fontId="3" fillId="7" borderId="26" xfId="0" applyNumberFormat="1" applyFont="1" applyFill="1" applyBorder="1" applyAlignment="1" applyProtection="1">
      <alignment horizontal="right"/>
      <protection hidden="1"/>
    </xf>
    <xf numFmtId="165" fontId="3" fillId="7" borderId="21" xfId="0" applyNumberFormat="1" applyFont="1" applyFill="1" applyBorder="1" applyAlignment="1" applyProtection="1">
      <alignment horizontal="right"/>
      <protection hidden="1"/>
    </xf>
    <xf numFmtId="165" fontId="3" fillId="7" borderId="31" xfId="0" applyNumberFormat="1" applyFont="1" applyFill="1" applyBorder="1" applyAlignment="1" applyProtection="1">
      <alignment horizontal="right"/>
      <protection hidden="1"/>
    </xf>
    <xf numFmtId="165" fontId="3" fillId="7" borderId="26" xfId="0" applyNumberFormat="1" applyFont="1" applyFill="1" applyBorder="1" applyAlignment="1" applyProtection="1">
      <alignment horizontal="right" wrapText="1"/>
      <protection hidden="1"/>
    </xf>
    <xf numFmtId="165" fontId="3" fillId="7" borderId="31" xfId="0" applyNumberFormat="1" applyFont="1" applyFill="1" applyBorder="1" applyAlignment="1" applyProtection="1">
      <alignment horizontal="right" wrapText="1"/>
      <protection hidden="1"/>
    </xf>
    <xf numFmtId="165" fontId="3" fillId="7" borderId="32" xfId="0" applyNumberFormat="1" applyFont="1" applyFill="1" applyBorder="1" applyAlignment="1" applyProtection="1">
      <alignment horizontal="right" wrapText="1"/>
      <protection hidden="1"/>
    </xf>
    <xf numFmtId="165" fontId="3" fillId="7" borderId="25" xfId="0" applyNumberFormat="1" applyFont="1" applyFill="1" applyBorder="1" applyAlignment="1" applyProtection="1">
      <alignment horizontal="right" wrapText="1"/>
      <protection hidden="1"/>
    </xf>
    <xf numFmtId="3" fontId="2" fillId="3" borderId="26" xfId="0" applyNumberFormat="1" applyFont="1" applyFill="1" applyBorder="1" applyAlignment="1" applyProtection="1">
      <alignment horizontal="center"/>
      <protection locked="0" hidden="1"/>
    </xf>
    <xf numFmtId="3" fontId="2" fillId="3" borderId="21" xfId="0" applyNumberFormat="1" applyFont="1" applyFill="1" applyBorder="1" applyAlignment="1" applyProtection="1">
      <alignment horizontal="center"/>
      <protection locked="0" hidden="1"/>
    </xf>
    <xf numFmtId="3" fontId="2" fillId="3" borderId="31" xfId="0" applyNumberFormat="1" applyFont="1" applyFill="1" applyBorder="1" applyAlignment="1" applyProtection="1">
      <alignment horizontal="center"/>
      <protection locked="0" hidden="1"/>
    </xf>
    <xf numFmtId="0" fontId="23" fillId="5" borderId="21" xfId="0" applyFont="1" applyFill="1" applyBorder="1" applyAlignment="1" applyProtection="1">
      <alignment horizontal="left" wrapText="1"/>
      <protection hidden="1"/>
    </xf>
    <xf numFmtId="0" fontId="23" fillId="5" borderId="26" xfId="0" applyFont="1" applyFill="1" applyBorder="1" applyAlignment="1" applyProtection="1">
      <alignment horizontal="left" wrapText="1"/>
      <protection hidden="1"/>
    </xf>
    <xf numFmtId="0" fontId="23" fillId="5" borderId="31" xfId="0" applyFont="1" applyFill="1" applyBorder="1" applyAlignment="1" applyProtection="1">
      <alignment horizontal="left" wrapText="1"/>
      <protection hidden="1"/>
    </xf>
    <xf numFmtId="0" fontId="23" fillId="5" borderId="32" xfId="0" applyFont="1" applyFill="1" applyBorder="1" applyAlignment="1" applyProtection="1">
      <alignment horizontal="left" wrapText="1"/>
      <protection hidden="1"/>
    </xf>
    <xf numFmtId="0" fontId="23" fillId="5" borderId="25" xfId="0" applyFont="1" applyFill="1" applyBorder="1" applyAlignment="1" applyProtection="1">
      <alignment horizontal="left" wrapText="1"/>
      <protection hidden="1"/>
    </xf>
    <xf numFmtId="0" fontId="23" fillId="5" borderId="33" xfId="0" applyFont="1" applyFill="1" applyBorder="1" applyAlignment="1" applyProtection="1">
      <alignment horizontal="left" wrapText="1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24" fillId="0" borderId="5" xfId="0" applyFont="1" applyBorder="1"/>
    <xf numFmtId="0" fontId="20" fillId="0" borderId="0" xfId="0" applyFont="1" applyProtection="1">
      <protection hidden="1"/>
    </xf>
    <xf numFmtId="0" fontId="26" fillId="0" borderId="0" xfId="0" applyFont="1" applyProtection="1">
      <protection hidden="1"/>
    </xf>
    <xf numFmtId="49" fontId="7" fillId="0" borderId="8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27" fillId="0" borderId="0" xfId="0" applyFont="1" applyProtection="1">
      <protection hidden="1"/>
    </xf>
    <xf numFmtId="0" fontId="24" fillId="0" borderId="24" xfId="0" applyFont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left" wrapText="1" indent="2"/>
      <protection hidden="1"/>
    </xf>
    <xf numFmtId="0" fontId="22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49" fontId="7" fillId="5" borderId="13" xfId="0" applyNumberFormat="1" applyFont="1" applyFill="1" applyBorder="1" applyAlignment="1">
      <alignment horizontal="left" vertical="center"/>
    </xf>
    <xf numFmtId="2" fontId="13" fillId="5" borderId="13" xfId="0" applyNumberFormat="1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28" fillId="0" borderId="0" xfId="0" applyFont="1" applyProtection="1">
      <protection hidden="1"/>
    </xf>
    <xf numFmtId="0" fontId="6" fillId="5" borderId="13" xfId="0" applyFont="1" applyFill="1" applyBorder="1" applyProtection="1">
      <protection hidden="1"/>
    </xf>
    <xf numFmtId="49" fontId="6" fillId="5" borderId="13" xfId="0" applyNumberFormat="1" applyFont="1" applyFill="1" applyBorder="1" applyAlignment="1">
      <alignment horizontal="left" vertical="center"/>
    </xf>
    <xf numFmtId="3" fontId="12" fillId="0" borderId="0" xfId="0" applyNumberFormat="1" applyFont="1" applyAlignment="1" applyProtection="1">
      <alignment horizontal="center"/>
      <protection hidden="1"/>
    </xf>
    <xf numFmtId="0" fontId="6" fillId="0" borderId="0" xfId="0" applyFont="1" applyBorder="1" applyAlignment="1" applyProtection="1">
      <protection hidden="1"/>
    </xf>
    <xf numFmtId="0" fontId="6" fillId="0" borderId="14" xfId="0" applyFont="1" applyBorder="1" applyAlignment="1" applyProtection="1">
      <protection hidden="1"/>
    </xf>
    <xf numFmtId="0" fontId="6" fillId="0" borderId="22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9" fontId="18" fillId="0" borderId="22" xfId="0" applyNumberFormat="1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/>
    </xf>
    <xf numFmtId="49" fontId="18" fillId="0" borderId="14" xfId="0" applyNumberFormat="1" applyFont="1" applyFill="1" applyBorder="1" applyAlignment="1">
      <alignment horizontal="left" vertical="center"/>
    </xf>
    <xf numFmtId="2" fontId="13" fillId="0" borderId="22" xfId="0" applyNumberFormat="1" applyFont="1" applyFill="1" applyBorder="1" applyAlignment="1">
      <alignment horizontal="left" vertical="center"/>
    </xf>
    <xf numFmtId="2" fontId="13" fillId="0" borderId="0" xfId="0" applyNumberFormat="1" applyFont="1" applyFill="1" applyBorder="1" applyAlignment="1">
      <alignment horizontal="left" vertical="center"/>
    </xf>
    <xf numFmtId="2" fontId="13" fillId="0" borderId="14" xfId="0" applyNumberFormat="1" applyFont="1" applyFill="1" applyBorder="1" applyAlignment="1">
      <alignment horizontal="left" vertical="center"/>
    </xf>
    <xf numFmtId="0" fontId="2" fillId="6" borderId="4" xfId="0" applyFont="1" applyFill="1" applyBorder="1" applyAlignment="1" applyProtection="1">
      <alignment horizontal="left" wrapText="1" indent="1"/>
      <protection hidden="1"/>
    </xf>
    <xf numFmtId="0" fontId="2" fillId="4" borderId="2" xfId="0" applyFont="1" applyFill="1" applyBorder="1" applyAlignment="1" applyProtection="1">
      <alignment horizontal="center" wrapText="1"/>
      <protection locked="0" hidden="1"/>
    </xf>
    <xf numFmtId="0" fontId="2" fillId="4" borderId="3" xfId="0" applyFont="1" applyFill="1" applyBorder="1" applyAlignment="1" applyProtection="1">
      <alignment horizontal="center" wrapText="1"/>
      <protection locked="0" hidden="1"/>
    </xf>
    <xf numFmtId="0" fontId="17" fillId="0" borderId="13" xfId="0" applyNumberFormat="1" applyFont="1" applyBorder="1" applyAlignment="1" applyProtection="1">
      <alignment wrapText="1"/>
      <protection hidden="1"/>
    </xf>
    <xf numFmtId="14" fontId="2" fillId="0" borderId="13" xfId="0" applyNumberFormat="1" applyFont="1" applyBorder="1" applyAlignment="1" applyProtection="1">
      <alignment vertical="center" wrapText="1"/>
      <protection hidden="1"/>
    </xf>
    <xf numFmtId="0" fontId="7" fillId="0" borderId="0" xfId="0" applyFont="1" applyBorder="1"/>
    <xf numFmtId="0" fontId="6" fillId="0" borderId="14" xfId="0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0" fontId="6" fillId="0" borderId="22" xfId="0" applyFont="1" applyFill="1" applyBorder="1" applyProtection="1">
      <protection hidden="1"/>
    </xf>
    <xf numFmtId="49" fontId="6" fillId="0" borderId="8" xfId="0" applyNumberFormat="1" applyFont="1" applyFill="1" applyBorder="1" applyAlignment="1">
      <alignment horizontal="left" vertical="center"/>
    </xf>
    <xf numFmtId="0" fontId="7" fillId="0" borderId="14" xfId="0" applyFont="1" applyBorder="1" applyProtection="1">
      <protection hidden="1"/>
    </xf>
    <xf numFmtId="0" fontId="7" fillId="0" borderId="22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7" fillId="0" borderId="14" xfId="0" applyFont="1" applyFill="1" applyBorder="1" applyAlignment="1" applyProtection="1">
      <alignment horizontal="left"/>
      <protection hidden="1"/>
    </xf>
    <xf numFmtId="0" fontId="6" fillId="5" borderId="13" xfId="0" applyFont="1" applyFill="1" applyBorder="1" applyAlignment="1">
      <alignment horizontal="left"/>
    </xf>
    <xf numFmtId="4" fontId="7" fillId="5" borderId="13" xfId="0" applyNumberFormat="1" applyFont="1" applyFill="1" applyBorder="1"/>
    <xf numFmtId="4" fontId="7" fillId="5" borderId="28" xfId="0" applyNumberFormat="1" applyFont="1" applyFill="1" applyBorder="1"/>
    <xf numFmtId="4" fontId="6" fillId="5" borderId="13" xfId="0" applyNumberFormat="1" applyFont="1" applyFill="1" applyBorder="1"/>
    <xf numFmtId="0" fontId="29" fillId="0" borderId="0" xfId="0" applyFont="1" applyProtection="1">
      <protection hidden="1"/>
    </xf>
    <xf numFmtId="0" fontId="2" fillId="0" borderId="0" xfId="0" applyFont="1" applyAlignment="1" applyProtection="1">
      <protection hidden="1"/>
    </xf>
    <xf numFmtId="0" fontId="3" fillId="0" borderId="0" xfId="0" applyFont="1" applyAlignment="1" applyProtection="1">
      <protection hidden="1"/>
    </xf>
    <xf numFmtId="0" fontId="29" fillId="0" borderId="0" xfId="0" applyFont="1" applyFill="1" applyProtection="1">
      <protection hidden="1"/>
    </xf>
    <xf numFmtId="0" fontId="3" fillId="0" borderId="0" xfId="1" applyFont="1" applyAlignment="1" applyProtection="1">
      <protection hidden="1"/>
    </xf>
    <xf numFmtId="0" fontId="23" fillId="0" borderId="0" xfId="0" applyFont="1" applyFill="1" applyProtection="1">
      <protection hidden="1"/>
    </xf>
    <xf numFmtId="0" fontId="30" fillId="0" borderId="0" xfId="0" applyFont="1" applyAlignment="1" applyProtection="1">
      <alignment horizontal="right"/>
      <protection hidden="1"/>
    </xf>
    <xf numFmtId="49" fontId="30" fillId="0" borderId="0" xfId="0" applyNumberFormat="1" applyFont="1" applyFill="1" applyBorder="1" applyAlignment="1" applyProtection="1">
      <alignment horizontal="center" wrapText="1"/>
      <protection hidden="1"/>
    </xf>
    <xf numFmtId="0" fontId="29" fillId="0" borderId="0" xfId="0" applyFont="1" applyFill="1" applyBorder="1" applyProtection="1">
      <protection hidden="1"/>
    </xf>
    <xf numFmtId="0" fontId="30" fillId="0" borderId="0" xfId="0" applyFont="1" applyFill="1" applyAlignment="1" applyProtection="1">
      <protection hidden="1"/>
    </xf>
    <xf numFmtId="0" fontId="29" fillId="0" borderId="0" xfId="0" applyFont="1" applyBorder="1" applyAlignment="1" applyProtection="1">
      <alignment wrapText="1"/>
      <protection hidden="1"/>
    </xf>
    <xf numFmtId="0" fontId="29" fillId="5" borderId="0" xfId="0" applyFont="1" applyFill="1" applyProtection="1">
      <protection hidden="1"/>
    </xf>
    <xf numFmtId="0" fontId="29" fillId="6" borderId="0" xfId="0" applyFont="1" applyFill="1" applyProtection="1">
      <protection hidden="1"/>
    </xf>
    <xf numFmtId="0" fontId="30" fillId="5" borderId="2" xfId="0" applyFont="1" applyFill="1" applyBorder="1" applyAlignment="1" applyProtection="1">
      <alignment horizontal="center" vertical="justify"/>
      <protection hidden="1"/>
    </xf>
    <xf numFmtId="0" fontId="30" fillId="5" borderId="3" xfId="0" applyFont="1" applyFill="1" applyBorder="1" applyAlignment="1" applyProtection="1">
      <alignment horizontal="center" vertical="justify"/>
      <protection hidden="1"/>
    </xf>
    <xf numFmtId="0" fontId="30" fillId="0" borderId="0" xfId="0" applyFont="1" applyAlignment="1" applyProtection="1">
      <alignment horizontal="center"/>
      <protection hidden="1"/>
    </xf>
    <xf numFmtId="0" fontId="30" fillId="5" borderId="4" xfId="0" applyFont="1" applyFill="1" applyBorder="1" applyAlignment="1" applyProtection="1">
      <alignment horizontal="center" vertical="justify"/>
      <protection hidden="1"/>
    </xf>
    <xf numFmtId="0" fontId="29" fillId="0" borderId="24" xfId="0" applyFont="1" applyBorder="1" applyProtection="1">
      <protection hidden="1"/>
    </xf>
    <xf numFmtId="0" fontId="29" fillId="0" borderId="24" xfId="0" applyFont="1" applyFill="1" applyBorder="1" applyAlignment="1" applyProtection="1">
      <alignment horizontal="center"/>
      <protection hidden="1"/>
    </xf>
    <xf numFmtId="0" fontId="29" fillId="0" borderId="24" xfId="0" applyFont="1" applyFill="1" applyBorder="1" applyProtection="1">
      <protection hidden="1"/>
    </xf>
    <xf numFmtId="0" fontId="31" fillId="0" borderId="24" xfId="0" applyFont="1" applyFill="1" applyBorder="1" applyAlignment="1" applyProtection="1">
      <alignment horizontal="center"/>
      <protection hidden="1"/>
    </xf>
    <xf numFmtId="0" fontId="30" fillId="0" borderId="24" xfId="0" applyFont="1" applyFill="1" applyBorder="1" applyAlignment="1" applyProtection="1">
      <alignment horizontal="center"/>
      <protection hidden="1"/>
    </xf>
    <xf numFmtId="0" fontId="5" fillId="0" borderId="24" xfId="0" applyFont="1" applyFill="1" applyBorder="1" applyProtection="1">
      <protection hidden="1"/>
    </xf>
    <xf numFmtId="0" fontId="29" fillId="6" borderId="2" xfId="0" applyFont="1" applyFill="1" applyBorder="1" applyAlignment="1" applyProtection="1">
      <alignment horizontal="left" vertical="center" wrapText="1"/>
      <protection hidden="1"/>
    </xf>
    <xf numFmtId="0" fontId="5" fillId="6" borderId="3" xfId="0" applyFont="1" applyFill="1" applyBorder="1" applyAlignment="1" applyProtection="1">
      <alignment horizontal="left" wrapText="1"/>
      <protection hidden="1"/>
    </xf>
    <xf numFmtId="0" fontId="29" fillId="6" borderId="3" xfId="0" applyFont="1" applyFill="1" applyBorder="1" applyAlignment="1" applyProtection="1">
      <alignment horizontal="right" vertical="center" wrapText="1"/>
      <protection hidden="1"/>
    </xf>
    <xf numFmtId="0" fontId="30" fillId="6" borderId="3" xfId="0" applyFont="1" applyFill="1" applyBorder="1" applyAlignment="1" applyProtection="1">
      <alignment horizontal="right" vertical="center" wrapText="1"/>
      <protection hidden="1"/>
    </xf>
    <xf numFmtId="4" fontId="30" fillId="6" borderId="4" xfId="0" applyNumberFormat="1" applyFont="1" applyFill="1" applyBorder="1" applyAlignment="1" applyProtection="1">
      <alignment horizontal="right" vertical="center" wrapText="1"/>
      <protection hidden="1"/>
    </xf>
    <xf numFmtId="0" fontId="29" fillId="0" borderId="0" xfId="0" applyFont="1" applyAlignment="1" applyProtection="1">
      <alignment wrapText="1"/>
      <protection hidden="1"/>
    </xf>
    <xf numFmtId="3" fontId="30" fillId="6" borderId="0" xfId="0" applyNumberFormat="1" applyFont="1" applyFill="1" applyAlignment="1" applyProtection="1">
      <alignment wrapText="1"/>
      <protection hidden="1"/>
    </xf>
    <xf numFmtId="0" fontId="5" fillId="0" borderId="0" xfId="0" applyFont="1" applyAlignment="1" applyProtection="1">
      <alignment wrapText="1"/>
      <protection hidden="1"/>
    </xf>
    <xf numFmtId="0" fontId="29" fillId="0" borderId="24" xfId="0" applyFont="1" applyBorder="1" applyAlignment="1" applyProtection="1">
      <alignment wrapText="1"/>
      <protection hidden="1"/>
    </xf>
    <xf numFmtId="0" fontId="32" fillId="0" borderId="24" xfId="0" applyFont="1" applyFill="1" applyBorder="1" applyProtection="1">
      <protection hidden="1"/>
    </xf>
    <xf numFmtId="0" fontId="32" fillId="5" borderId="24" xfId="0" applyFont="1" applyFill="1" applyBorder="1" applyProtection="1">
      <protection hidden="1"/>
    </xf>
    <xf numFmtId="0" fontId="32" fillId="0" borderId="24" xfId="0" applyFont="1" applyFill="1" applyBorder="1" applyAlignment="1" applyProtection="1">
      <alignment horizontal="center"/>
      <protection hidden="1"/>
    </xf>
    <xf numFmtId="4" fontId="29" fillId="0" borderId="0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36" xfId="0" applyNumberFormat="1" applyFont="1" applyFill="1" applyBorder="1" applyAlignment="1" applyProtection="1">
      <alignment horizontal="right" vertical="center" wrapText="1"/>
      <protection hidden="1"/>
    </xf>
    <xf numFmtId="3" fontId="29" fillId="6" borderId="0" xfId="0" applyNumberFormat="1" applyFont="1" applyFill="1" applyAlignment="1" applyProtection="1">
      <alignment wrapText="1"/>
      <protection hidden="1"/>
    </xf>
    <xf numFmtId="0" fontId="5" fillId="0" borderId="22" xfId="0" applyFont="1" applyFill="1" applyBorder="1" applyAlignment="1" applyProtection="1">
      <alignment wrapText="1"/>
      <protection hidden="1"/>
    </xf>
    <xf numFmtId="0" fontId="30" fillId="0" borderId="0" xfId="0" applyFont="1" applyAlignment="1" applyProtection="1">
      <alignment horizontal="right" wrapText="1"/>
      <protection hidden="1"/>
    </xf>
    <xf numFmtId="2" fontId="5" fillId="0" borderId="0" xfId="0" applyNumberFormat="1" applyFont="1" applyFill="1" applyAlignment="1" applyProtection="1">
      <alignment wrapText="1"/>
      <protection hidden="1"/>
    </xf>
    <xf numFmtId="0" fontId="5" fillId="0" borderId="0" xfId="0" applyNumberFormat="1" applyFont="1" applyFill="1" applyAlignment="1" applyProtection="1">
      <alignment wrapText="1"/>
      <protection hidden="1"/>
    </xf>
    <xf numFmtId="0" fontId="5" fillId="0" borderId="0" xfId="0" applyNumberFormat="1" applyFont="1" applyFill="1" applyAlignment="1" applyProtection="1">
      <alignment horizontal="left" wrapText="1"/>
      <protection hidden="1"/>
    </xf>
    <xf numFmtId="0" fontId="5" fillId="0" borderId="35" xfId="0" applyFont="1" applyFill="1" applyBorder="1" applyAlignment="1" applyProtection="1">
      <alignment wrapText="1"/>
      <protection hidden="1"/>
    </xf>
    <xf numFmtId="0" fontId="5" fillId="0" borderId="35" xfId="0" applyFont="1" applyFill="1" applyBorder="1" applyAlignment="1" applyProtection="1">
      <alignment horizontal="left" wrapText="1"/>
      <protection hidden="1"/>
    </xf>
    <xf numFmtId="4" fontId="5" fillId="0" borderId="0" xfId="0" applyNumberFormat="1" applyFont="1" applyFill="1" applyAlignment="1" applyProtection="1">
      <alignment wrapText="1"/>
      <protection hidden="1"/>
    </xf>
    <xf numFmtId="4" fontId="5" fillId="5" borderId="0" xfId="0" applyNumberFormat="1" applyFont="1" applyFill="1" applyAlignment="1" applyProtection="1">
      <alignment wrapText="1"/>
      <protection hidden="1"/>
    </xf>
    <xf numFmtId="4" fontId="29" fillId="0" borderId="0" xfId="0" applyNumberFormat="1" applyFont="1" applyAlignment="1" applyProtection="1">
      <alignment horizontal="right"/>
      <protection hidden="1"/>
    </xf>
    <xf numFmtId="4" fontId="30" fillId="0" borderId="0" xfId="0" applyNumberFormat="1" applyFont="1" applyFill="1" applyAlignment="1" applyProtection="1">
      <alignment wrapText="1"/>
      <protection hidden="1"/>
    </xf>
    <xf numFmtId="4" fontId="29" fillId="0" borderId="0" xfId="0" applyNumberFormat="1" applyFont="1" applyAlignment="1" applyProtection="1">
      <alignment wrapText="1"/>
      <protection hidden="1"/>
    </xf>
    <xf numFmtId="0" fontId="5" fillId="0" borderId="0" xfId="0" applyFont="1" applyFill="1" applyBorder="1" applyAlignment="1" applyProtection="1">
      <alignment wrapText="1"/>
      <protection hidden="1"/>
    </xf>
    <xf numFmtId="0" fontId="32" fillId="0" borderId="0" xfId="0" applyFont="1" applyAlignment="1" applyProtection="1">
      <alignment horizontal="right" wrapText="1"/>
      <protection hidden="1"/>
    </xf>
    <xf numFmtId="0" fontId="5" fillId="5" borderId="0" xfId="0" applyNumberFormat="1" applyFont="1" applyFill="1" applyAlignment="1" applyProtection="1">
      <alignment horizontal="left" wrapText="1"/>
      <protection hidden="1"/>
    </xf>
    <xf numFmtId="0" fontId="5" fillId="5" borderId="0" xfId="0" applyFont="1" applyFill="1" applyBorder="1" applyAlignment="1" applyProtection="1">
      <alignment wrapText="1"/>
      <protection hidden="1"/>
    </xf>
    <xf numFmtId="0" fontId="5" fillId="0" borderId="0" xfId="0" applyNumberFormat="1" applyFont="1" applyFill="1" applyBorder="1" applyAlignment="1" applyProtection="1">
      <alignment horizontal="left" wrapText="1"/>
      <protection hidden="1"/>
    </xf>
    <xf numFmtId="4" fontId="5" fillId="0" borderId="0" xfId="0" applyNumberFormat="1" applyFont="1" applyFill="1" applyBorder="1" applyAlignment="1" applyProtection="1">
      <alignment wrapText="1"/>
      <protection hidden="1"/>
    </xf>
    <xf numFmtId="0" fontId="5" fillId="5" borderId="0" xfId="0" applyFont="1" applyFill="1" applyAlignment="1" applyProtection="1">
      <alignment wrapText="1"/>
      <protection hidden="1"/>
    </xf>
    <xf numFmtId="0" fontId="29" fillId="5" borderId="0" xfId="0" applyFont="1" applyFill="1" applyAlignment="1" applyProtection="1">
      <alignment wrapText="1"/>
      <protection hidden="1"/>
    </xf>
    <xf numFmtId="4" fontId="29" fillId="0" borderId="14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32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14" xfId="0" applyFont="1" applyFill="1" applyBorder="1" applyAlignment="1" applyProtection="1">
      <alignment wrapText="1"/>
      <protection hidden="1"/>
    </xf>
    <xf numFmtId="0" fontId="34" fillId="0" borderId="14" xfId="0" applyFont="1" applyBorder="1" applyAlignment="1" applyProtection="1">
      <alignment horizontal="right" wrapText="1"/>
      <protection hidden="1"/>
    </xf>
    <xf numFmtId="2" fontId="5" fillId="0" borderId="14" xfId="0" applyNumberFormat="1" applyFont="1" applyFill="1" applyBorder="1" applyAlignment="1" applyProtection="1">
      <alignment wrapText="1"/>
      <protection hidden="1"/>
    </xf>
    <xf numFmtId="0" fontId="5" fillId="0" borderId="14" xfId="0" applyNumberFormat="1" applyFont="1" applyFill="1" applyBorder="1" applyAlignment="1" applyProtection="1">
      <alignment wrapText="1"/>
      <protection hidden="1"/>
    </xf>
    <xf numFmtId="0" fontId="5" fillId="0" borderId="14" xfId="0" applyNumberFormat="1" applyFont="1" applyFill="1" applyBorder="1" applyAlignment="1" applyProtection="1">
      <alignment horizontal="left" wrapText="1"/>
      <protection hidden="1"/>
    </xf>
    <xf numFmtId="0" fontId="5" fillId="5" borderId="14" xfId="0" applyFont="1" applyFill="1" applyBorder="1" applyAlignment="1" applyProtection="1">
      <alignment wrapText="1"/>
      <protection hidden="1"/>
    </xf>
    <xf numFmtId="4" fontId="5" fillId="0" borderId="14" xfId="0" applyNumberFormat="1" applyFont="1" applyFill="1" applyBorder="1" applyAlignment="1" applyProtection="1">
      <alignment wrapText="1"/>
      <protection hidden="1"/>
    </xf>
    <xf numFmtId="0" fontId="29" fillId="5" borderId="14" xfId="0" applyFont="1" applyFill="1" applyBorder="1" applyAlignment="1" applyProtection="1">
      <alignment wrapText="1"/>
      <protection hidden="1"/>
    </xf>
    <xf numFmtId="4" fontId="30" fillId="0" borderId="14" xfId="0" applyNumberFormat="1" applyFont="1" applyFill="1" applyBorder="1" applyAlignment="1" applyProtection="1">
      <alignment wrapText="1"/>
      <protection hidden="1"/>
    </xf>
    <xf numFmtId="4" fontId="29" fillId="0" borderId="14" xfId="0" applyNumberFormat="1" applyFont="1" applyBorder="1" applyAlignment="1" applyProtection="1">
      <alignment wrapText="1"/>
      <protection hidden="1"/>
    </xf>
    <xf numFmtId="0" fontId="34" fillId="0" borderId="24" xfId="0" applyFont="1" applyBorder="1" applyAlignment="1" applyProtection="1">
      <alignment horizontal="right" wrapText="1"/>
      <protection hidden="1"/>
    </xf>
    <xf numFmtId="2" fontId="5" fillId="0" borderId="24" xfId="0" applyNumberFormat="1" applyFont="1" applyFill="1" applyBorder="1" applyAlignment="1" applyProtection="1">
      <alignment wrapText="1"/>
      <protection hidden="1"/>
    </xf>
    <xf numFmtId="0" fontId="5" fillId="0" borderId="24" xfId="0" applyNumberFormat="1" applyFont="1" applyFill="1" applyBorder="1" applyAlignment="1" applyProtection="1">
      <alignment wrapText="1"/>
      <protection hidden="1"/>
    </xf>
    <xf numFmtId="0" fontId="5" fillId="0" borderId="24" xfId="0" applyNumberFormat="1" applyFont="1" applyFill="1" applyBorder="1" applyAlignment="1" applyProtection="1">
      <alignment horizontal="left" wrapText="1"/>
      <protection hidden="1"/>
    </xf>
    <xf numFmtId="0" fontId="5" fillId="5" borderId="24" xfId="0" applyFont="1" applyFill="1" applyBorder="1" applyAlignment="1" applyProtection="1">
      <alignment wrapText="1"/>
      <protection hidden="1"/>
    </xf>
    <xf numFmtId="0" fontId="5" fillId="0" borderId="24" xfId="0" applyFont="1" applyFill="1" applyBorder="1" applyAlignment="1" applyProtection="1">
      <alignment wrapText="1"/>
      <protection hidden="1"/>
    </xf>
    <xf numFmtId="4" fontId="5" fillId="0" borderId="24" xfId="0" applyNumberFormat="1" applyFont="1" applyFill="1" applyBorder="1" applyAlignment="1" applyProtection="1">
      <alignment wrapText="1"/>
      <protection hidden="1"/>
    </xf>
    <xf numFmtId="0" fontId="29" fillId="5" borderId="24" xfId="0" applyFont="1" applyFill="1" applyBorder="1" applyAlignment="1" applyProtection="1">
      <alignment wrapText="1"/>
      <protection hidden="1"/>
    </xf>
    <xf numFmtId="4" fontId="30" fillId="0" borderId="24" xfId="0" applyNumberFormat="1" applyFont="1" applyFill="1" applyBorder="1" applyAlignment="1" applyProtection="1">
      <alignment wrapText="1"/>
      <protection hidden="1"/>
    </xf>
    <xf numFmtId="4" fontId="29" fillId="0" borderId="24" xfId="0" applyNumberFormat="1" applyFont="1" applyBorder="1" applyAlignment="1" applyProtection="1">
      <alignment wrapText="1"/>
      <protection hidden="1"/>
    </xf>
    <xf numFmtId="0" fontId="30" fillId="6" borderId="0" xfId="0" applyFont="1" applyFill="1" applyAlignment="1" applyProtection="1">
      <alignment wrapText="1"/>
      <protection hidden="1"/>
    </xf>
    <xf numFmtId="0" fontId="5" fillId="0" borderId="3" xfId="0" applyFont="1" applyBorder="1" applyAlignment="1" applyProtection="1">
      <alignment wrapText="1"/>
      <protection hidden="1"/>
    </xf>
    <xf numFmtId="4" fontId="29" fillId="0" borderId="37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38" xfId="0" applyNumberFormat="1" applyFont="1" applyFill="1" applyBorder="1" applyAlignment="1" applyProtection="1">
      <alignment horizontal="right" vertical="center" wrapText="1"/>
      <protection hidden="1"/>
    </xf>
    <xf numFmtId="0" fontId="29" fillId="6" borderId="0" xfId="0" applyFont="1" applyFill="1" applyAlignment="1" applyProtection="1">
      <alignment wrapText="1"/>
      <protection hidden="1"/>
    </xf>
    <xf numFmtId="2" fontId="5" fillId="0" borderId="0" xfId="0" applyNumberFormat="1" applyFont="1" applyAlignment="1" applyProtection="1">
      <alignment wrapText="1"/>
      <protection hidden="1"/>
    </xf>
    <xf numFmtId="0" fontId="5" fillId="0" borderId="0" xfId="0" applyNumberFormat="1" applyFont="1" applyAlignment="1" applyProtection="1">
      <alignment wrapText="1"/>
      <protection hidden="1"/>
    </xf>
    <xf numFmtId="0" fontId="5" fillId="0" borderId="0" xfId="0" applyFont="1" applyFill="1" applyAlignment="1" applyProtection="1">
      <alignment wrapText="1"/>
      <protection hidden="1"/>
    </xf>
    <xf numFmtId="0" fontId="5" fillId="0" borderId="0" xfId="0" applyFont="1" applyFill="1" applyAlignment="1" applyProtection="1">
      <alignment horizontal="left" wrapText="1"/>
      <protection hidden="1"/>
    </xf>
    <xf numFmtId="4" fontId="29" fillId="0" borderId="13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25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24" xfId="0" applyFont="1" applyBorder="1" applyAlignment="1" applyProtection="1">
      <alignment wrapText="1"/>
      <protection hidden="1"/>
    </xf>
    <xf numFmtId="2" fontId="5" fillId="0" borderId="24" xfId="0" applyNumberFormat="1" applyFont="1" applyBorder="1" applyAlignment="1" applyProtection="1">
      <alignment wrapText="1"/>
      <protection hidden="1"/>
    </xf>
    <xf numFmtId="0" fontId="5" fillId="0" borderId="24" xfId="0" applyNumberFormat="1" applyFont="1" applyBorder="1" applyAlignment="1" applyProtection="1">
      <alignment wrapText="1"/>
      <protection hidden="1"/>
    </xf>
    <xf numFmtId="0" fontId="5" fillId="0" borderId="24" xfId="0" applyFont="1" applyFill="1" applyBorder="1" applyAlignment="1" applyProtection="1">
      <alignment horizontal="left" wrapText="1"/>
      <protection hidden="1"/>
    </xf>
    <xf numFmtId="4" fontId="5" fillId="5" borderId="24" xfId="0" applyNumberFormat="1" applyFont="1" applyFill="1" applyBorder="1" applyAlignment="1" applyProtection="1">
      <alignment wrapText="1"/>
      <protection hidden="1"/>
    </xf>
    <xf numFmtId="4" fontId="29" fillId="0" borderId="24" xfId="0" applyNumberFormat="1" applyFont="1" applyBorder="1" applyAlignment="1" applyProtection="1">
      <alignment horizontal="right"/>
      <protection hidden="1"/>
    </xf>
    <xf numFmtId="4" fontId="32" fillId="0" borderId="24" xfId="0" applyNumberFormat="1" applyFont="1" applyFill="1" applyBorder="1" applyProtection="1">
      <protection hidden="1"/>
    </xf>
    <xf numFmtId="0" fontId="5" fillId="0" borderId="35" xfId="0" applyNumberFormat="1" applyFont="1" applyFill="1" applyBorder="1" applyAlignment="1" applyProtection="1">
      <alignment horizontal="left" wrapText="1"/>
      <protection hidden="1"/>
    </xf>
    <xf numFmtId="4" fontId="5" fillId="0" borderId="35" xfId="0" applyNumberFormat="1" applyFont="1" applyFill="1" applyBorder="1" applyAlignment="1" applyProtection="1">
      <alignment wrapText="1"/>
      <protection hidden="1"/>
    </xf>
    <xf numFmtId="0" fontId="29" fillId="6" borderId="0" xfId="0" applyFont="1" applyFill="1" applyBorder="1" applyAlignment="1" applyProtection="1">
      <alignment wrapText="1"/>
      <protection hidden="1"/>
    </xf>
    <xf numFmtId="0" fontId="5" fillId="0" borderId="0" xfId="0" applyFont="1" applyBorder="1" applyAlignment="1" applyProtection="1">
      <alignment wrapText="1"/>
      <protection hidden="1"/>
    </xf>
    <xf numFmtId="2" fontId="5" fillId="0" borderId="0" xfId="0" applyNumberFormat="1" applyFont="1" applyBorder="1" applyAlignment="1" applyProtection="1">
      <alignment wrapText="1"/>
      <protection hidden="1"/>
    </xf>
    <xf numFmtId="0" fontId="5" fillId="0" borderId="0" xfId="0" applyNumberFormat="1" applyFont="1" applyBorder="1" applyAlignment="1" applyProtection="1">
      <alignment wrapText="1"/>
      <protection hidden="1"/>
    </xf>
    <xf numFmtId="0" fontId="29" fillId="5" borderId="0" xfId="0" applyFont="1" applyFill="1" applyBorder="1" applyAlignment="1" applyProtection="1">
      <alignment wrapText="1"/>
      <protection hidden="1"/>
    </xf>
    <xf numFmtId="4" fontId="30" fillId="0" borderId="0" xfId="0" applyNumberFormat="1" applyFont="1" applyFill="1" applyBorder="1" applyAlignment="1" applyProtection="1">
      <alignment wrapText="1"/>
      <protection hidden="1"/>
    </xf>
    <xf numFmtId="4" fontId="29" fillId="0" borderId="0" xfId="0" applyNumberFormat="1" applyFont="1" applyBorder="1" applyAlignment="1" applyProtection="1">
      <alignment wrapText="1"/>
      <protection hidden="1"/>
    </xf>
    <xf numFmtId="4" fontId="29" fillId="0" borderId="22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33" xfId="0" applyNumberFormat="1" applyFont="1" applyFill="1" applyBorder="1" applyAlignment="1" applyProtection="1">
      <alignment horizontal="right" vertical="center" wrapText="1"/>
      <protection hidden="1"/>
    </xf>
    <xf numFmtId="0" fontId="32" fillId="0" borderId="3" xfId="0" applyFont="1" applyFill="1" applyBorder="1" applyProtection="1">
      <protection hidden="1"/>
    </xf>
    <xf numFmtId="0" fontId="29" fillId="5" borderId="3" xfId="0" applyFont="1" applyFill="1" applyBorder="1" applyAlignment="1" applyProtection="1">
      <alignment wrapText="1"/>
      <protection hidden="1"/>
    </xf>
    <xf numFmtId="4" fontId="32" fillId="0" borderId="3" xfId="0" applyNumberFormat="1" applyFont="1" applyFill="1" applyBorder="1" applyProtection="1">
      <protection hidden="1"/>
    </xf>
    <xf numFmtId="0" fontId="5" fillId="0" borderId="0" xfId="0" applyFont="1" applyFill="1" applyBorder="1" applyAlignment="1" applyProtection="1">
      <alignment horizontal="left" wrapText="1"/>
      <protection hidden="1"/>
    </xf>
    <xf numFmtId="0" fontId="29" fillId="0" borderId="0" xfId="0" applyFont="1" applyFill="1" applyAlignment="1" applyProtection="1">
      <alignment wrapText="1"/>
      <protection hidden="1"/>
    </xf>
    <xf numFmtId="0" fontId="5" fillId="5" borderId="35" xfId="0" applyFont="1" applyFill="1" applyBorder="1" applyAlignment="1" applyProtection="1">
      <alignment wrapText="1"/>
      <protection hidden="1"/>
    </xf>
    <xf numFmtId="4" fontId="29" fillId="0" borderId="39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40" xfId="0" applyNumberFormat="1" applyFont="1" applyFill="1" applyBorder="1" applyAlignment="1" applyProtection="1">
      <alignment horizontal="right" vertical="center" wrapText="1"/>
      <protection hidden="1"/>
    </xf>
    <xf numFmtId="0" fontId="29" fillId="0" borderId="24" xfId="0" applyFont="1" applyFill="1" applyBorder="1" applyAlignment="1" applyProtection="1">
      <alignment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4" fontId="3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4" fontId="29" fillId="0" borderId="0" xfId="0" applyNumberFormat="1" applyFont="1" applyProtection="1">
      <protection hidden="1"/>
    </xf>
    <xf numFmtId="0" fontId="3" fillId="6" borderId="0" xfId="0" applyFont="1" applyFill="1" applyProtection="1">
      <protection hidden="1"/>
    </xf>
    <xf numFmtId="0" fontId="2" fillId="6" borderId="0" xfId="0" applyFont="1" applyFill="1" applyAlignment="1" applyProtection="1">
      <alignment horizontal="right"/>
      <protection hidden="1"/>
    </xf>
    <xf numFmtId="0" fontId="3" fillId="6" borderId="0" xfId="0" applyFont="1" applyFill="1" applyAlignment="1" applyProtection="1">
      <alignment horizontal="center"/>
      <protection hidden="1"/>
    </xf>
    <xf numFmtId="4" fontId="30" fillId="6" borderId="0" xfId="0" applyNumberFormat="1" applyFont="1" applyFill="1" applyBorder="1" applyAlignment="1" applyProtection="1">
      <alignment horizontal="right" vertical="center" wrapText="1"/>
      <protection hidden="1"/>
    </xf>
    <xf numFmtId="4" fontId="30" fillId="7" borderId="0" xfId="0" applyNumberFormat="1" applyFont="1" applyFill="1" applyProtection="1">
      <protection hidden="1"/>
    </xf>
    <xf numFmtId="4" fontId="2" fillId="0" borderId="0" xfId="0" applyNumberFormat="1" applyFont="1" applyProtection="1">
      <protection hidden="1"/>
    </xf>
    <xf numFmtId="0" fontId="3" fillId="0" borderId="1" xfId="0" applyFont="1" applyBorder="1" applyProtection="1">
      <protection hidden="1"/>
    </xf>
    <xf numFmtId="0" fontId="35" fillId="0" borderId="41" xfId="0" applyFont="1" applyFill="1" applyBorder="1" applyAlignment="1" applyProtection="1">
      <alignment horizontal="center" vertical="center" wrapText="1"/>
      <protection hidden="1"/>
    </xf>
    <xf numFmtId="0" fontId="35" fillId="0" borderId="42" xfId="0" applyFont="1" applyFill="1" applyBorder="1" applyAlignment="1" applyProtection="1">
      <alignment horizontal="center" vertical="center" wrapText="1"/>
      <protection hidden="1"/>
    </xf>
    <xf numFmtId="0" fontId="35" fillId="0" borderId="34" xfId="0" applyFont="1" applyFill="1" applyBorder="1" applyAlignment="1" applyProtection="1">
      <alignment horizontal="center" vertical="center" wrapText="1"/>
      <protection hidden="1"/>
    </xf>
    <xf numFmtId="0" fontId="35" fillId="0" borderId="43" xfId="0" applyFont="1" applyFill="1" applyBorder="1" applyAlignment="1" applyProtection="1">
      <alignment horizontal="center" vertical="center" wrapText="1"/>
      <protection hidden="1"/>
    </xf>
    <xf numFmtId="0" fontId="35" fillId="0" borderId="44" xfId="0" applyFont="1" applyFill="1" applyBorder="1" applyAlignment="1" applyProtection="1">
      <alignment horizontal="center" vertical="center" wrapText="1"/>
      <protection hidden="1"/>
    </xf>
    <xf numFmtId="0" fontId="35" fillId="0" borderId="18" xfId="0" applyFont="1" applyFill="1" applyBorder="1" applyAlignment="1" applyProtection="1">
      <alignment horizontal="center" vertical="center" wrapText="1"/>
      <protection hidden="1"/>
    </xf>
    <xf numFmtId="0" fontId="35" fillId="0" borderId="19" xfId="0" applyFont="1" applyFill="1" applyBorder="1" applyAlignment="1" applyProtection="1">
      <alignment horizontal="center" vertical="center" wrapText="1"/>
      <protection hidden="1"/>
    </xf>
    <xf numFmtId="0" fontId="35" fillId="0" borderId="45" xfId="0" applyFont="1" applyFill="1" applyBorder="1" applyAlignment="1" applyProtection="1">
      <alignment horizontal="center" vertical="center" wrapText="1"/>
      <protection hidden="1"/>
    </xf>
    <xf numFmtId="0" fontId="30" fillId="6" borderId="24" xfId="0" applyFont="1" applyFill="1" applyBorder="1" applyAlignment="1" applyProtection="1">
      <alignment horizontal="right" wrapText="1"/>
      <protection hidden="1"/>
    </xf>
    <xf numFmtId="0" fontId="30" fillId="5" borderId="0" xfId="0" applyFont="1" applyFill="1" applyBorder="1" applyAlignment="1" applyProtection="1">
      <alignment wrapText="1"/>
      <protection hidden="1"/>
    </xf>
    <xf numFmtId="0" fontId="6" fillId="0" borderId="23" xfId="0" applyFont="1" applyFill="1" applyBorder="1" applyAlignment="1" applyProtection="1">
      <alignment horizontal="right"/>
      <protection hidden="1"/>
    </xf>
    <xf numFmtId="4" fontId="36" fillId="0" borderId="46" xfId="0" applyNumberFormat="1" applyFont="1" applyBorder="1"/>
    <xf numFmtId="4" fontId="36" fillId="0" borderId="28" xfId="0" applyNumberFormat="1" applyFont="1" applyBorder="1"/>
    <xf numFmtId="4" fontId="36" fillId="0" borderId="46" xfId="0" applyNumberFormat="1" applyFont="1" applyFill="1" applyBorder="1"/>
    <xf numFmtId="49" fontId="7" fillId="0" borderId="8" xfId="0" applyNumberFormat="1" applyFont="1" applyBorder="1" applyProtection="1">
      <protection hidden="1"/>
    </xf>
    <xf numFmtId="0" fontId="7" fillId="5" borderId="8" xfId="0" applyFont="1" applyFill="1" applyBorder="1" applyProtection="1">
      <protection hidden="1"/>
    </xf>
    <xf numFmtId="0" fontId="7" fillId="0" borderId="47" xfId="0" applyFont="1" applyFill="1" applyBorder="1" applyAlignment="1" applyProtection="1">
      <alignment horizontal="left"/>
      <protection hidden="1"/>
    </xf>
    <xf numFmtId="0" fontId="7" fillId="0" borderId="48" xfId="0" applyFont="1" applyFill="1" applyBorder="1" applyAlignment="1" applyProtection="1">
      <alignment horizontal="left"/>
      <protection hidden="1"/>
    </xf>
    <xf numFmtId="0" fontId="7" fillId="0" borderId="49" xfId="0" applyFont="1" applyFill="1" applyBorder="1" applyAlignment="1" applyProtection="1">
      <alignment horizontal="left"/>
      <protection hidden="1"/>
    </xf>
    <xf numFmtId="0" fontId="7" fillId="0" borderId="50" xfId="0" applyFont="1" applyBorder="1" applyAlignment="1" applyProtection="1">
      <alignment horizontal="center"/>
      <protection hidden="1"/>
    </xf>
    <xf numFmtId="0" fontId="7" fillId="0" borderId="51" xfId="0" applyFont="1" applyBorder="1" applyAlignment="1" applyProtection="1">
      <alignment horizontal="center"/>
      <protection hidden="1"/>
    </xf>
    <xf numFmtId="0" fontId="7" fillId="0" borderId="52" xfId="0" applyFont="1" applyBorder="1" applyAlignment="1" applyProtection="1">
      <alignment horizontal="center"/>
      <protection hidden="1"/>
    </xf>
    <xf numFmtId="0" fontId="7" fillId="0" borderId="53" xfId="0" applyFont="1" applyBorder="1" applyAlignment="1" applyProtection="1">
      <alignment horizontal="center"/>
      <protection hidden="1"/>
    </xf>
    <xf numFmtId="0" fontId="7" fillId="0" borderId="54" xfId="0" applyFont="1" applyBorder="1" applyAlignment="1" applyProtection="1">
      <alignment horizontal="center"/>
      <protection hidden="1"/>
    </xf>
    <xf numFmtId="0" fontId="7" fillId="0" borderId="55" xfId="0" applyFont="1" applyBorder="1" applyAlignment="1" applyProtection="1">
      <alignment horizontal="center"/>
      <protection hidden="1"/>
    </xf>
    <xf numFmtId="0" fontId="9" fillId="6" borderId="2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6" borderId="14" xfId="0" applyFont="1" applyFill="1" applyBorder="1" applyAlignment="1" applyProtection="1">
      <alignment horizontal="center"/>
      <protection hidden="1"/>
    </xf>
    <xf numFmtId="0" fontId="7" fillId="6" borderId="13" xfId="0" applyFont="1" applyFill="1" applyBorder="1" applyAlignment="1" applyProtection="1">
      <alignment horizontal="center"/>
      <protection hidden="1"/>
    </xf>
    <xf numFmtId="49" fontId="6" fillId="0" borderId="14" xfId="0" applyNumberFormat="1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49" fontId="7" fillId="5" borderId="14" xfId="0" applyNumberFormat="1" applyFont="1" applyFill="1" applyBorder="1" applyAlignment="1">
      <alignment horizontal="left" vertical="center"/>
    </xf>
    <xf numFmtId="2" fontId="13" fillId="5" borderId="14" xfId="0" applyNumberFormat="1" applyFont="1" applyFill="1" applyBorder="1" applyAlignment="1">
      <alignment horizontal="left" vertical="center"/>
    </xf>
    <xf numFmtId="49" fontId="6" fillId="5" borderId="22" xfId="0" applyNumberFormat="1" applyFont="1" applyFill="1" applyBorder="1" applyAlignment="1">
      <alignment horizontal="left" vertical="center"/>
    </xf>
    <xf numFmtId="49" fontId="7" fillId="5" borderId="22" xfId="0" applyNumberFormat="1" applyFont="1" applyFill="1" applyBorder="1" applyAlignment="1">
      <alignment horizontal="left" vertical="center"/>
    </xf>
    <xf numFmtId="2" fontId="13" fillId="5" borderId="22" xfId="0" applyNumberFormat="1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7" fillId="0" borderId="56" xfId="0" applyFont="1" applyFill="1" applyBorder="1" applyAlignment="1" applyProtection="1">
      <alignment horizontal="left"/>
      <protection hidden="1"/>
    </xf>
    <xf numFmtId="0" fontId="7" fillId="0" borderId="57" xfId="0" applyFont="1" applyBorder="1" applyAlignment="1" applyProtection="1">
      <alignment horizontal="center"/>
      <protection hidden="1"/>
    </xf>
    <xf numFmtId="0" fontId="6" fillId="5" borderId="0" xfId="0" applyFont="1" applyFill="1" applyBorder="1" applyAlignment="1" applyProtection="1">
      <alignment horizontal="left"/>
      <protection hidden="1"/>
    </xf>
    <xf numFmtId="49" fontId="7" fillId="5" borderId="0" xfId="0" applyNumberFormat="1" applyFont="1" applyFill="1" applyBorder="1" applyProtection="1">
      <protection hidden="1"/>
    </xf>
    <xf numFmtId="0" fontId="6" fillId="5" borderId="13" xfId="0" applyFont="1" applyFill="1" applyBorder="1" applyAlignment="1" applyProtection="1">
      <alignment horizontal="left"/>
      <protection hidden="1"/>
    </xf>
    <xf numFmtId="0" fontId="37" fillId="0" borderId="19" xfId="0" applyFont="1" applyFill="1" applyBorder="1" applyAlignment="1" applyProtection="1">
      <alignment horizontal="left"/>
      <protection locked="0" hidden="1"/>
    </xf>
    <xf numFmtId="49" fontId="37" fillId="0" borderId="13" xfId="0" applyNumberFormat="1" applyFont="1" applyFill="1" applyBorder="1" applyAlignment="1" applyProtection="1">
      <alignment horizontal="left"/>
      <protection locked="0" hidden="1"/>
    </xf>
    <xf numFmtId="0" fontId="37" fillId="0" borderId="25" xfId="0" applyFont="1" applyFill="1" applyBorder="1" applyAlignment="1" applyProtection="1">
      <alignment horizontal="left"/>
      <protection locked="0" hidden="1"/>
    </xf>
    <xf numFmtId="1" fontId="37" fillId="0" borderId="25" xfId="0" applyNumberFormat="1" applyFont="1" applyFill="1" applyBorder="1" applyAlignment="1" applyProtection="1">
      <alignment horizontal="left"/>
      <protection locked="0" hidden="1"/>
    </xf>
    <xf numFmtId="0" fontId="37" fillId="0" borderId="13" xfId="0" applyFont="1" applyFill="1" applyBorder="1" applyAlignment="1" applyProtection="1">
      <alignment horizontal="center"/>
      <protection locked="0" hidden="1"/>
    </xf>
    <xf numFmtId="0" fontId="37" fillId="0" borderId="25" xfId="0" applyFont="1" applyBorder="1" applyAlignment="1" applyProtection="1">
      <alignment horizontal="left"/>
      <protection locked="0" hidden="1"/>
    </xf>
    <xf numFmtId="0" fontId="37" fillId="0" borderId="14" xfId="0" applyFont="1" applyBorder="1" applyAlignment="1" applyProtection="1">
      <alignment horizontal="left"/>
      <protection locked="0" hidden="1"/>
    </xf>
    <xf numFmtId="0" fontId="37" fillId="0" borderId="43" xfId="0" applyFont="1" applyFill="1" applyBorder="1" applyAlignment="1" applyProtection="1">
      <alignment horizontal="left"/>
      <protection locked="0" hidden="1"/>
    </xf>
    <xf numFmtId="49" fontId="37" fillId="0" borderId="22" xfId="0" applyNumberFormat="1" applyFont="1" applyFill="1" applyBorder="1" applyAlignment="1" applyProtection="1">
      <alignment horizontal="left"/>
      <protection locked="0" hidden="1"/>
    </xf>
    <xf numFmtId="0" fontId="37" fillId="0" borderId="33" xfId="0" applyFont="1" applyFill="1" applyBorder="1" applyAlignment="1" applyProtection="1">
      <alignment horizontal="left"/>
      <protection locked="0" hidden="1"/>
    </xf>
    <xf numFmtId="1" fontId="37" fillId="0" borderId="33" xfId="0" applyNumberFormat="1" applyFont="1" applyFill="1" applyBorder="1" applyAlignment="1" applyProtection="1">
      <alignment horizontal="left"/>
      <protection locked="0" hidden="1"/>
    </xf>
    <xf numFmtId="0" fontId="37" fillId="0" borderId="45" xfId="0" applyFont="1" applyFill="1" applyBorder="1" applyAlignment="1" applyProtection="1">
      <alignment horizontal="left"/>
      <protection locked="0" hidden="1"/>
    </xf>
    <xf numFmtId="0" fontId="37" fillId="0" borderId="39" xfId="0" applyFont="1" applyFill="1" applyBorder="1" applyAlignment="1" applyProtection="1">
      <alignment horizontal="center"/>
      <protection locked="0" hidden="1"/>
    </xf>
    <xf numFmtId="0" fontId="37" fillId="0" borderId="40" xfId="0" applyFont="1" applyBorder="1" applyAlignment="1" applyProtection="1">
      <alignment horizontal="left"/>
      <protection locked="0" hidden="1"/>
    </xf>
    <xf numFmtId="0" fontId="37" fillId="0" borderId="34" xfId="0" applyFont="1" applyFill="1" applyBorder="1" applyAlignment="1" applyProtection="1">
      <alignment horizontal="left"/>
      <protection locked="0" hidden="1"/>
    </xf>
    <xf numFmtId="49" fontId="37" fillId="0" borderId="14" xfId="0" applyNumberFormat="1" applyFont="1" applyFill="1" applyBorder="1" applyAlignment="1" applyProtection="1">
      <alignment horizontal="left"/>
      <protection locked="0" hidden="1"/>
    </xf>
    <xf numFmtId="0" fontId="37" fillId="0" borderId="32" xfId="0" applyFont="1" applyFill="1" applyBorder="1" applyAlignment="1" applyProtection="1">
      <alignment horizontal="left"/>
      <protection locked="0" hidden="1"/>
    </xf>
    <xf numFmtId="1" fontId="37" fillId="0" borderId="32" xfId="0" applyNumberFormat="1" applyFont="1" applyFill="1" applyBorder="1" applyAlignment="1" applyProtection="1">
      <alignment horizontal="left"/>
      <protection locked="0" hidden="1"/>
    </xf>
    <xf numFmtId="0" fontId="37" fillId="0" borderId="34" xfId="0" applyFont="1" applyBorder="1" applyAlignment="1" applyProtection="1">
      <alignment horizontal="left"/>
      <protection locked="0" hidden="1"/>
    </xf>
    <xf numFmtId="0" fontId="37" fillId="0" borderId="32" xfId="0" applyFont="1" applyBorder="1" applyAlignment="1" applyProtection="1">
      <alignment horizontal="left"/>
      <protection locked="0" hidden="1"/>
    </xf>
    <xf numFmtId="0" fontId="37" fillId="0" borderId="19" xfId="0" applyFont="1" applyBorder="1" applyAlignment="1" applyProtection="1">
      <alignment horizontal="left"/>
      <protection locked="0" hidden="1"/>
    </xf>
    <xf numFmtId="0" fontId="37" fillId="0" borderId="13" xfId="0" applyFont="1" applyBorder="1" applyAlignment="1" applyProtection="1">
      <alignment horizontal="left"/>
      <protection locked="0" hidden="1"/>
    </xf>
    <xf numFmtId="0" fontId="37" fillId="0" borderId="22" xfId="0" applyFont="1" applyFill="1" applyBorder="1" applyAlignment="1" applyProtection="1">
      <alignment horizontal="center"/>
      <protection locked="0" hidden="1"/>
    </xf>
    <xf numFmtId="0" fontId="37" fillId="0" borderId="22" xfId="0" applyFont="1" applyBorder="1" applyAlignment="1" applyProtection="1">
      <alignment horizontal="left"/>
      <protection locked="0" hidden="1"/>
    </xf>
    <xf numFmtId="0" fontId="37" fillId="0" borderId="45" xfId="0" applyFont="1" applyBorder="1" applyAlignment="1" applyProtection="1">
      <alignment horizontal="left"/>
      <protection locked="0" hidden="1"/>
    </xf>
    <xf numFmtId="0" fontId="37" fillId="0" borderId="39" xfId="0" applyFont="1" applyBorder="1" applyAlignment="1" applyProtection="1">
      <alignment horizontal="left"/>
      <protection locked="0" hidden="1"/>
    </xf>
    <xf numFmtId="0" fontId="37" fillId="0" borderId="14" xfId="0" applyFont="1" applyFill="1" applyBorder="1" applyAlignment="1" applyProtection="1">
      <alignment horizontal="left"/>
      <protection locked="0" hidden="1"/>
    </xf>
    <xf numFmtId="0" fontId="37" fillId="0" borderId="22" xfId="0" applyFont="1" applyFill="1" applyBorder="1" applyAlignment="1" applyProtection="1">
      <alignment horizontal="left"/>
      <protection locked="0" hidden="1"/>
    </xf>
    <xf numFmtId="0" fontId="37" fillId="0" borderId="39" xfId="0" applyFont="1" applyFill="1" applyBorder="1" applyAlignment="1" applyProtection="1">
      <alignment horizontal="left"/>
      <protection locked="0" hidden="1"/>
    </xf>
    <xf numFmtId="0" fontId="37" fillId="0" borderId="40" xfId="0" applyFont="1" applyFill="1" applyBorder="1" applyAlignment="1" applyProtection="1">
      <alignment horizontal="left"/>
      <protection locked="0" hidden="1"/>
    </xf>
    <xf numFmtId="3" fontId="37" fillId="0" borderId="34" xfId="0" applyNumberFormat="1" applyFont="1" applyFill="1" applyBorder="1" applyAlignment="1" applyProtection="1">
      <alignment horizontal="left"/>
      <protection locked="0" hidden="1"/>
    </xf>
    <xf numFmtId="3" fontId="37" fillId="0" borderId="32" xfId="0" applyNumberFormat="1" applyFont="1" applyFill="1" applyBorder="1" applyAlignment="1" applyProtection="1">
      <alignment horizontal="left"/>
      <protection locked="0" hidden="1"/>
    </xf>
    <xf numFmtId="3" fontId="37" fillId="0" borderId="19" xfId="0" applyNumberFormat="1" applyFont="1" applyFill="1" applyBorder="1" applyAlignment="1" applyProtection="1">
      <alignment horizontal="left"/>
      <protection locked="0" hidden="1"/>
    </xf>
    <xf numFmtId="3" fontId="37" fillId="0" borderId="25" xfId="0" applyNumberFormat="1" applyFont="1" applyFill="1" applyBorder="1" applyAlignment="1" applyProtection="1">
      <alignment horizontal="left"/>
      <protection locked="0" hidden="1"/>
    </xf>
    <xf numFmtId="0" fontId="37" fillId="0" borderId="13" xfId="0" applyFont="1" applyFill="1" applyBorder="1" applyAlignment="1" applyProtection="1">
      <alignment horizontal="left"/>
      <protection locked="0" hidden="1"/>
    </xf>
    <xf numFmtId="3" fontId="37" fillId="0" borderId="43" xfId="0" applyNumberFormat="1" applyFont="1" applyFill="1" applyBorder="1" applyAlignment="1" applyProtection="1">
      <alignment horizontal="left"/>
      <protection locked="0" hidden="1"/>
    </xf>
    <xf numFmtId="3" fontId="37" fillId="0" borderId="33" xfId="0" applyNumberFormat="1" applyFont="1" applyFill="1" applyBorder="1" applyAlignment="1" applyProtection="1">
      <alignment horizontal="left"/>
      <protection locked="0" hidden="1"/>
    </xf>
    <xf numFmtId="49" fontId="7" fillId="5" borderId="13" xfId="0" applyNumberFormat="1" applyFont="1" applyFill="1" applyBorder="1" applyProtection="1">
      <protection hidden="1"/>
    </xf>
    <xf numFmtId="49" fontId="7" fillId="0" borderId="0" xfId="0" applyNumberFormat="1" applyFont="1" applyFill="1" applyBorder="1" applyProtection="1">
      <protection hidden="1"/>
    </xf>
    <xf numFmtId="49" fontId="6" fillId="5" borderId="14" xfId="0" applyNumberFormat="1" applyFont="1" applyFill="1" applyBorder="1" applyAlignment="1">
      <alignment horizontal="left" vertical="center"/>
    </xf>
    <xf numFmtId="49" fontId="6" fillId="2" borderId="13" xfId="0" applyNumberFormat="1" applyFont="1" applyFill="1" applyBorder="1" applyAlignment="1">
      <alignment horizontal="left" vertical="center"/>
    </xf>
    <xf numFmtId="49" fontId="7" fillId="2" borderId="13" xfId="0" applyNumberFormat="1" applyFont="1" applyFill="1" applyBorder="1" applyAlignment="1">
      <alignment horizontal="left" vertical="center"/>
    </xf>
    <xf numFmtId="2" fontId="13" fillId="2" borderId="13" xfId="0" applyNumberFormat="1" applyFont="1" applyFill="1" applyBorder="1" applyAlignment="1">
      <alignment horizontal="left" vertical="center"/>
    </xf>
    <xf numFmtId="0" fontId="39" fillId="5" borderId="42" xfId="0" applyFont="1" applyFill="1" applyBorder="1" applyAlignment="1" applyProtection="1">
      <alignment horizontal="center" vertical="center" wrapText="1"/>
      <protection hidden="1"/>
    </xf>
    <xf numFmtId="0" fontId="39" fillId="5" borderId="34" xfId="0" applyFont="1" applyFill="1" applyBorder="1" applyAlignment="1" applyProtection="1">
      <alignment horizontal="center" vertical="center" wrapText="1"/>
      <protection hidden="1"/>
    </xf>
    <xf numFmtId="0" fontId="38" fillId="6" borderId="3" xfId="0" applyFont="1" applyFill="1" applyBorder="1" applyAlignment="1" applyProtection="1">
      <alignment horizontal="left" wrapText="1"/>
      <protection hidden="1"/>
    </xf>
    <xf numFmtId="0" fontId="39" fillId="6" borderId="3" xfId="0" applyFont="1" applyFill="1" applyBorder="1" applyAlignment="1" applyProtection="1">
      <alignment horizontal="right" vertical="center" wrapText="1"/>
      <protection hidden="1"/>
    </xf>
    <xf numFmtId="0" fontId="39" fillId="5" borderId="18" xfId="0" applyFont="1" applyFill="1" applyBorder="1" applyAlignment="1" applyProtection="1">
      <alignment horizontal="center" vertical="center" wrapText="1"/>
      <protection hidden="1"/>
    </xf>
    <xf numFmtId="0" fontId="39" fillId="5" borderId="19" xfId="0" applyFont="1" applyFill="1" applyBorder="1" applyAlignment="1" applyProtection="1">
      <alignment horizontal="center" vertical="center" wrapText="1"/>
      <protection hidden="1"/>
    </xf>
    <xf numFmtId="0" fontId="39" fillId="5" borderId="43" xfId="0" applyFont="1" applyFill="1" applyBorder="1" applyAlignment="1" applyProtection="1">
      <alignment horizontal="center" vertical="center" wrapText="1"/>
      <protection hidden="1"/>
    </xf>
    <xf numFmtId="0" fontId="39" fillId="5" borderId="45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Protection="1">
      <protection hidden="1"/>
    </xf>
    <xf numFmtId="1" fontId="7" fillId="0" borderId="0" xfId="0" applyNumberFormat="1" applyFont="1" applyBorder="1" applyProtection="1">
      <protection hidden="1"/>
    </xf>
    <xf numFmtId="1" fontId="7" fillId="0" borderId="13" xfId="0" applyNumberFormat="1" applyFont="1" applyBorder="1" applyProtection="1">
      <protection hidden="1"/>
    </xf>
    <xf numFmtId="0" fontId="7" fillId="0" borderId="58" xfId="0" applyFont="1" applyBorder="1" applyProtection="1">
      <protection hidden="1"/>
    </xf>
    <xf numFmtId="14" fontId="7" fillId="0" borderId="59" xfId="0" applyNumberFormat="1" applyFont="1" applyBorder="1" applyProtection="1">
      <protection hidden="1"/>
    </xf>
    <xf numFmtId="0" fontId="7" fillId="0" borderId="60" xfId="0" applyFont="1" applyBorder="1" applyProtection="1">
      <protection hidden="1"/>
    </xf>
    <xf numFmtId="0" fontId="7" fillId="0" borderId="61" xfId="0" applyFont="1" applyBorder="1" applyProtection="1">
      <protection hidden="1"/>
    </xf>
    <xf numFmtId="14" fontId="7" fillId="0" borderId="62" xfId="0" applyNumberFormat="1" applyFont="1" applyBorder="1" applyProtection="1">
      <protection hidden="1"/>
    </xf>
    <xf numFmtId="0" fontId="7" fillId="0" borderId="63" xfId="0" applyFont="1" applyBorder="1" applyProtection="1">
      <protection hidden="1"/>
    </xf>
    <xf numFmtId="0" fontId="7" fillId="0" borderId="62" xfId="0" applyFont="1" applyBorder="1" applyProtection="1">
      <protection hidden="1"/>
    </xf>
    <xf numFmtId="0" fontId="7" fillId="0" borderId="64" xfId="0" applyFont="1" applyBorder="1" applyProtection="1">
      <protection hidden="1"/>
    </xf>
    <xf numFmtId="0" fontId="7" fillId="0" borderId="65" xfId="0" applyFont="1" applyBorder="1" applyProtection="1">
      <protection hidden="1"/>
    </xf>
    <xf numFmtId="0" fontId="7" fillId="0" borderId="66" xfId="0" applyFont="1" applyBorder="1" applyProtection="1">
      <protection hidden="1"/>
    </xf>
    <xf numFmtId="14" fontId="7" fillId="0" borderId="62" xfId="0" applyNumberFormat="1" applyFont="1" applyBorder="1" applyAlignment="1" applyProtection="1">
      <alignment horizontal="center"/>
      <protection hidden="1"/>
    </xf>
    <xf numFmtId="9" fontId="7" fillId="0" borderId="62" xfId="0" applyNumberFormat="1" applyFont="1" applyBorder="1" applyAlignment="1" applyProtection="1">
      <alignment horizontal="right"/>
      <protection hidden="1"/>
    </xf>
    <xf numFmtId="9" fontId="7" fillId="0" borderId="65" xfId="0" applyNumberFormat="1" applyFont="1" applyBorder="1" applyAlignment="1" applyProtection="1">
      <alignment horizontal="right"/>
      <protection hidden="1"/>
    </xf>
    <xf numFmtId="9" fontId="7" fillId="0" borderId="59" xfId="0" applyNumberFormat="1" applyFont="1" applyBorder="1" applyAlignment="1" applyProtection="1">
      <alignment horizontal="right"/>
      <protection hidden="1"/>
    </xf>
    <xf numFmtId="4" fontId="6" fillId="8" borderId="13" xfId="0" applyNumberFormat="1" applyFont="1" applyFill="1" applyBorder="1"/>
    <xf numFmtId="4" fontId="26" fillId="0" borderId="13" xfId="0" applyNumberFormat="1" applyFont="1" applyFill="1" applyBorder="1"/>
    <xf numFmtId="0" fontId="36" fillId="0" borderId="28" xfId="0" applyFont="1" applyBorder="1" applyProtection="1">
      <protection hidden="1"/>
    </xf>
    <xf numFmtId="4" fontId="36" fillId="5" borderId="28" xfId="0" applyNumberFormat="1" applyFont="1" applyFill="1" applyBorder="1"/>
    <xf numFmtId="4" fontId="36" fillId="0" borderId="67" xfId="0" applyNumberFormat="1" applyFont="1" applyFill="1" applyBorder="1"/>
    <xf numFmtId="4" fontId="26" fillId="0" borderId="0" xfId="0" applyNumberFormat="1" applyFont="1" applyFill="1" applyBorder="1"/>
    <xf numFmtId="4" fontId="6" fillId="8" borderId="0" xfId="0" applyNumberFormat="1" applyFont="1" applyFill="1" applyBorder="1"/>
    <xf numFmtId="4" fontId="26" fillId="0" borderId="14" xfId="0" applyNumberFormat="1" applyFont="1" applyFill="1" applyBorder="1"/>
    <xf numFmtId="4" fontId="6" fillId="8" borderId="14" xfId="0" applyNumberFormat="1" applyFont="1" applyFill="1" applyBorder="1"/>
    <xf numFmtId="4" fontId="36" fillId="0" borderId="68" xfId="0" applyNumberFormat="1" applyFont="1" applyFill="1" applyBorder="1"/>
    <xf numFmtId="4" fontId="26" fillId="0" borderId="22" xfId="0" applyNumberFormat="1" applyFont="1" applyFill="1" applyBorder="1"/>
    <xf numFmtId="4" fontId="6" fillId="8" borderId="22" xfId="0" applyNumberFormat="1" applyFont="1" applyFill="1" applyBorder="1"/>
    <xf numFmtId="4" fontId="36" fillId="0" borderId="69" xfId="0" applyNumberFormat="1" applyFont="1" applyFill="1" applyBorder="1"/>
    <xf numFmtId="4" fontId="26" fillId="5" borderId="13" xfId="0" applyNumberFormat="1" applyFont="1" applyFill="1" applyBorder="1"/>
    <xf numFmtId="0" fontId="7" fillId="5" borderId="70" xfId="0" applyFont="1" applyFill="1" applyBorder="1" applyProtection="1">
      <protection hidden="1"/>
    </xf>
    <xf numFmtId="0" fontId="7" fillId="5" borderId="71" xfId="0" applyFont="1" applyFill="1" applyBorder="1" applyProtection="1">
      <protection hidden="1"/>
    </xf>
    <xf numFmtId="0" fontId="7" fillId="5" borderId="72" xfId="0" applyFont="1" applyFill="1" applyBorder="1" applyProtection="1">
      <protection hidden="1"/>
    </xf>
    <xf numFmtId="4" fontId="36" fillId="0" borderId="28" xfId="0" applyNumberFormat="1" applyFont="1" applyFill="1" applyBorder="1"/>
    <xf numFmtId="4" fontId="36" fillId="0" borderId="73" xfId="0" applyNumberFormat="1" applyFont="1" applyFill="1" applyBorder="1"/>
    <xf numFmtId="0" fontId="6" fillId="5" borderId="14" xfId="0" applyFont="1" applyFill="1" applyBorder="1" applyAlignment="1">
      <alignment horizontal="left"/>
    </xf>
    <xf numFmtId="4" fontId="7" fillId="5" borderId="14" xfId="0" applyNumberFormat="1" applyFont="1" applyFill="1" applyBorder="1"/>
    <xf numFmtId="4" fontId="7" fillId="5" borderId="69" xfId="0" applyNumberFormat="1" applyFont="1" applyFill="1" applyBorder="1"/>
    <xf numFmtId="0" fontId="7" fillId="0" borderId="0" xfId="0" applyFont="1" applyFill="1" applyBorder="1" applyAlignment="1" applyProtection="1">
      <protection hidden="1"/>
    </xf>
    <xf numFmtId="49" fontId="7" fillId="5" borderId="0" xfId="0" applyNumberFormat="1" applyFont="1" applyFill="1" applyBorder="1" applyAlignment="1">
      <alignment horizontal="left" vertical="center"/>
    </xf>
    <xf numFmtId="2" fontId="13" fillId="5" borderId="0" xfId="0" applyNumberFormat="1" applyFont="1" applyFill="1" applyBorder="1" applyAlignment="1">
      <alignment horizontal="left" vertical="center"/>
    </xf>
    <xf numFmtId="49" fontId="6" fillId="5" borderId="0" xfId="0" applyNumberFormat="1" applyFont="1" applyFill="1" applyBorder="1" applyAlignment="1">
      <alignment horizontal="left" vertical="center"/>
    </xf>
    <xf numFmtId="14" fontId="7" fillId="0" borderId="65" xfId="0" applyNumberFormat="1" applyFont="1" applyBorder="1" applyProtection="1">
      <protection hidden="1"/>
    </xf>
    <xf numFmtId="0" fontId="7" fillId="0" borderId="74" xfId="0" applyFont="1" applyFill="1" applyBorder="1" applyAlignment="1" applyProtection="1">
      <alignment horizontal="left"/>
      <protection hidden="1"/>
    </xf>
    <xf numFmtId="0" fontId="7" fillId="0" borderId="75" xfId="0" applyFont="1" applyFill="1" applyBorder="1" applyAlignment="1" applyProtection="1">
      <alignment horizontal="left"/>
      <protection hidden="1"/>
    </xf>
    <xf numFmtId="0" fontId="7" fillId="0" borderId="76" xfId="0" applyFont="1" applyFill="1" applyBorder="1" applyAlignment="1" applyProtection="1">
      <alignment horizontal="left"/>
      <protection hidden="1"/>
    </xf>
    <xf numFmtId="0" fontId="7" fillId="0" borderId="77" xfId="0" applyFont="1" applyBorder="1" applyAlignment="1" applyProtection="1">
      <alignment horizontal="center"/>
      <protection hidden="1"/>
    </xf>
    <xf numFmtId="0" fontId="7" fillId="0" borderId="78" xfId="0" applyFont="1" applyBorder="1" applyAlignment="1" applyProtection="1">
      <alignment horizontal="center"/>
      <protection hidden="1"/>
    </xf>
    <xf numFmtId="0" fontId="7" fillId="0" borderId="79" xfId="0" applyFont="1" applyBorder="1" applyAlignment="1" applyProtection="1">
      <alignment horizontal="center"/>
      <protection hidden="1"/>
    </xf>
    <xf numFmtId="0" fontId="7" fillId="9" borderId="13" xfId="0" applyFont="1" applyFill="1" applyBorder="1" applyProtection="1">
      <protection hidden="1"/>
    </xf>
    <xf numFmtId="0" fontId="7" fillId="10" borderId="13" xfId="0" applyFont="1" applyFill="1" applyBorder="1" applyProtection="1">
      <protection hidden="1"/>
    </xf>
    <xf numFmtId="0" fontId="7" fillId="11" borderId="13" xfId="0" applyFont="1" applyFill="1" applyBorder="1" applyProtection="1">
      <protection hidden="1"/>
    </xf>
    <xf numFmtId="0" fontId="6" fillId="11" borderId="0" xfId="0" applyFont="1" applyFill="1" applyBorder="1" applyAlignment="1">
      <alignment horizontal="left" vertical="center"/>
    </xf>
    <xf numFmtId="49" fontId="7" fillId="11" borderId="0" xfId="0" applyNumberFormat="1" applyFont="1" applyFill="1" applyBorder="1" applyAlignment="1">
      <alignment horizontal="left" vertical="center"/>
    </xf>
    <xf numFmtId="2" fontId="13" fillId="11" borderId="0" xfId="0" applyNumberFormat="1" applyFont="1" applyFill="1" applyBorder="1" applyAlignment="1">
      <alignment horizontal="left" vertical="center"/>
    </xf>
    <xf numFmtId="0" fontId="6" fillId="11" borderId="13" xfId="0" applyFont="1" applyFill="1" applyBorder="1" applyAlignment="1">
      <alignment horizontal="left" vertical="center"/>
    </xf>
    <xf numFmtId="49" fontId="7" fillId="11" borderId="13" xfId="0" applyNumberFormat="1" applyFont="1" applyFill="1" applyBorder="1" applyAlignment="1">
      <alignment horizontal="left" vertical="center"/>
    </xf>
    <xf numFmtId="2" fontId="13" fillId="11" borderId="13" xfId="0" applyNumberFormat="1" applyFont="1" applyFill="1" applyBorder="1" applyAlignment="1">
      <alignment horizontal="left" vertical="center"/>
    </xf>
    <xf numFmtId="0" fontId="6" fillId="11" borderId="13" xfId="0" applyFont="1" applyFill="1" applyBorder="1" applyProtection="1">
      <protection hidden="1"/>
    </xf>
    <xf numFmtId="0" fontId="7" fillId="11" borderId="13" xfId="0" applyFont="1" applyFill="1" applyBorder="1"/>
    <xf numFmtId="0" fontId="7" fillId="0" borderId="0" xfId="0" applyFont="1" applyAlignment="1" applyProtection="1">
      <alignment horizontal="left"/>
      <protection hidden="1"/>
    </xf>
    <xf numFmtId="49" fontId="6" fillId="11" borderId="0" xfId="0" applyNumberFormat="1" applyFont="1" applyFill="1" applyBorder="1" applyAlignment="1">
      <alignment horizontal="left" vertical="center"/>
    </xf>
    <xf numFmtId="0" fontId="7" fillId="12" borderId="0" xfId="0" applyFont="1" applyFill="1" applyProtection="1">
      <protection hidden="1"/>
    </xf>
    <xf numFmtId="0" fontId="7" fillId="13" borderId="0" xfId="0" applyFont="1" applyFill="1" applyProtection="1">
      <protection hidden="1"/>
    </xf>
    <xf numFmtId="49" fontId="20" fillId="0" borderId="0" xfId="0" applyNumberFormat="1" applyFont="1" applyFill="1" applyBorder="1" applyAlignment="1">
      <alignment horizontal="left" vertical="center"/>
    </xf>
    <xf numFmtId="0" fontId="6" fillId="11" borderId="13" xfId="0" applyFont="1" applyFill="1" applyBorder="1" applyAlignment="1" applyProtection="1">
      <alignment horizontal="left"/>
      <protection hidden="1"/>
    </xf>
    <xf numFmtId="0" fontId="6" fillId="11" borderId="0" xfId="0" applyFont="1" applyFill="1" applyBorder="1" applyAlignment="1" applyProtection="1">
      <alignment horizontal="left"/>
      <protection hidden="1"/>
    </xf>
    <xf numFmtId="49" fontId="7" fillId="11" borderId="0" xfId="0" applyNumberFormat="1" applyFont="1" applyFill="1" applyBorder="1" applyProtection="1">
      <protection hidden="1"/>
    </xf>
    <xf numFmtId="0" fontId="7" fillId="11" borderId="0" xfId="0" applyFont="1" applyFill="1" applyBorder="1" applyProtection="1">
      <protection hidden="1"/>
    </xf>
    <xf numFmtId="49" fontId="7" fillId="11" borderId="13" xfId="0" applyNumberFormat="1" applyFont="1" applyFill="1" applyBorder="1" applyProtection="1">
      <protection hidden="1"/>
    </xf>
    <xf numFmtId="49" fontId="42" fillId="13" borderId="0" xfId="0" applyNumberFormat="1" applyFont="1" applyFill="1" applyBorder="1" applyProtection="1">
      <protection hidden="1"/>
    </xf>
    <xf numFmtId="0" fontId="43" fillId="13" borderId="89" xfId="0" applyFont="1" applyFill="1" applyBorder="1" applyAlignment="1" applyProtection="1">
      <alignment horizontal="left"/>
      <protection hidden="1"/>
    </xf>
    <xf numFmtId="0" fontId="42" fillId="13" borderId="90" xfId="0" applyFont="1" applyFill="1" applyBorder="1" applyProtection="1">
      <protection hidden="1"/>
    </xf>
    <xf numFmtId="0" fontId="6" fillId="0" borderId="89" xfId="0" applyFont="1" applyFill="1" applyBorder="1" applyAlignment="1" applyProtection="1">
      <alignment horizontal="left"/>
      <protection hidden="1"/>
    </xf>
    <xf numFmtId="0" fontId="7" fillId="5" borderId="90" xfId="0" applyFont="1" applyFill="1" applyBorder="1" applyProtection="1">
      <protection hidden="1"/>
    </xf>
    <xf numFmtId="0" fontId="6" fillId="0" borderId="91" xfId="0" applyFont="1" applyFill="1" applyBorder="1" applyAlignment="1" applyProtection="1">
      <alignment horizontal="left"/>
      <protection hidden="1"/>
    </xf>
    <xf numFmtId="0" fontId="7" fillId="5" borderId="92" xfId="0" applyFont="1" applyFill="1" applyBorder="1" applyProtection="1">
      <protection hidden="1"/>
    </xf>
    <xf numFmtId="0" fontId="6" fillId="5" borderId="89" xfId="0" applyFont="1" applyFill="1" applyBorder="1" applyAlignment="1" applyProtection="1">
      <alignment horizontal="left"/>
      <protection hidden="1"/>
    </xf>
    <xf numFmtId="0" fontId="6" fillId="0" borderId="93" xfId="0" applyFont="1" applyFill="1" applyBorder="1" applyAlignment="1" applyProtection="1">
      <alignment horizontal="left"/>
      <protection hidden="1"/>
    </xf>
    <xf numFmtId="49" fontId="7" fillId="0" borderId="22" xfId="0" applyNumberFormat="1" applyFont="1" applyFill="1" applyBorder="1" applyProtection="1">
      <protection hidden="1"/>
    </xf>
    <xf numFmtId="0" fontId="7" fillId="5" borderId="94" xfId="0" applyFont="1" applyFill="1" applyBorder="1" applyProtection="1">
      <protection hidden="1"/>
    </xf>
    <xf numFmtId="49" fontId="7" fillId="0" borderId="14" xfId="0" applyNumberFormat="1" applyFont="1" applyFill="1" applyBorder="1" applyProtection="1">
      <protection hidden="1"/>
    </xf>
    <xf numFmtId="0" fontId="6" fillId="5" borderId="95" xfId="0" applyFont="1" applyFill="1" applyBorder="1" applyAlignment="1" applyProtection="1">
      <alignment horizontal="left"/>
      <protection hidden="1"/>
    </xf>
    <xf numFmtId="0" fontId="7" fillId="5" borderId="96" xfId="0" applyFont="1" applyFill="1" applyBorder="1" applyProtection="1">
      <protection hidden="1"/>
    </xf>
    <xf numFmtId="0" fontId="6" fillId="11" borderId="89" xfId="0" applyFont="1" applyFill="1" applyBorder="1" applyAlignment="1" applyProtection="1">
      <alignment horizontal="left"/>
      <protection hidden="1"/>
    </xf>
    <xf numFmtId="0" fontId="7" fillId="11" borderId="90" xfId="0" applyFont="1" applyFill="1" applyBorder="1" applyProtection="1">
      <protection hidden="1"/>
    </xf>
    <xf numFmtId="0" fontId="43" fillId="13" borderId="93" xfId="0" applyFont="1" applyFill="1" applyBorder="1" applyAlignment="1" applyProtection="1">
      <alignment horizontal="left"/>
      <protection hidden="1"/>
    </xf>
    <xf numFmtId="49" fontId="42" fillId="13" borderId="22" xfId="0" applyNumberFormat="1" applyFont="1" applyFill="1" applyBorder="1" applyProtection="1">
      <protection hidden="1"/>
    </xf>
    <xf numFmtId="0" fontId="42" fillId="13" borderId="94" xfId="0" applyFont="1" applyFill="1" applyBorder="1" applyProtection="1">
      <protection hidden="1"/>
    </xf>
    <xf numFmtId="0" fontId="6" fillId="5" borderId="91" xfId="0" applyFont="1" applyFill="1" applyBorder="1" applyAlignment="1" applyProtection="1">
      <alignment horizontal="left"/>
      <protection hidden="1"/>
    </xf>
    <xf numFmtId="49" fontId="7" fillId="5" borderId="14" xfId="0" applyNumberFormat="1" applyFont="1" applyFill="1" applyBorder="1" applyProtection="1">
      <protection hidden="1"/>
    </xf>
    <xf numFmtId="0" fontId="6" fillId="0" borderId="95" xfId="0" applyFont="1" applyFill="1" applyBorder="1" applyAlignment="1" applyProtection="1">
      <alignment horizontal="left"/>
      <protection hidden="1"/>
    </xf>
    <xf numFmtId="0" fontId="43" fillId="13" borderId="91" xfId="0" applyFont="1" applyFill="1" applyBorder="1" applyAlignment="1" applyProtection="1">
      <alignment horizontal="left"/>
      <protection hidden="1"/>
    </xf>
    <xf numFmtId="49" fontId="42" fillId="13" borderId="14" xfId="0" applyNumberFormat="1" applyFont="1" applyFill="1" applyBorder="1" applyProtection="1">
      <protection hidden="1"/>
    </xf>
    <xf numFmtId="0" fontId="42" fillId="13" borderId="92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14" xfId="0" applyFont="1" applyFill="1" applyBorder="1" applyAlignment="1" applyProtection="1">
      <alignment horizontal="left" vertical="center" wrapText="1"/>
      <protection hidden="1"/>
    </xf>
    <xf numFmtId="0" fontId="40" fillId="0" borderId="0" xfId="0" applyFont="1" applyFill="1" applyBorder="1" applyAlignment="1" applyProtection="1">
      <alignment horizontal="left" vertical="center" wrapText="1"/>
      <protection hidden="1"/>
    </xf>
    <xf numFmtId="0" fontId="40" fillId="0" borderId="14" xfId="0" applyFont="1" applyFill="1" applyBorder="1" applyAlignment="1" applyProtection="1">
      <alignment horizontal="left" vertical="center" wrapText="1"/>
      <protection hidden="1"/>
    </xf>
    <xf numFmtId="0" fontId="41" fillId="6" borderId="2" xfId="0" applyFont="1" applyFill="1" applyBorder="1" applyAlignment="1" applyProtection="1">
      <alignment horizontal="left" vertical="center"/>
      <protection hidden="1"/>
    </xf>
    <xf numFmtId="0" fontId="30" fillId="5" borderId="41" xfId="0" applyFont="1" applyFill="1" applyBorder="1" applyAlignment="1" applyProtection="1">
      <alignment horizontal="center" vertical="center"/>
      <protection hidden="1"/>
    </xf>
    <xf numFmtId="0" fontId="41" fillId="5" borderId="41" xfId="0" applyFont="1" applyFill="1" applyBorder="1" applyAlignment="1" applyProtection="1">
      <alignment horizontal="center" vertical="center"/>
      <protection hidden="1"/>
    </xf>
    <xf numFmtId="0" fontId="41" fillId="5" borderId="2" xfId="0" applyFont="1" applyFill="1" applyBorder="1" applyAlignment="1" applyProtection="1">
      <alignment horizontal="center" vertical="center"/>
      <protection hidden="1"/>
    </xf>
    <xf numFmtId="0" fontId="41" fillId="5" borderId="3" xfId="0" applyFont="1" applyFill="1" applyBorder="1" applyAlignment="1" applyProtection="1">
      <alignment horizontal="center" vertical="center"/>
      <protection hidden="1"/>
    </xf>
    <xf numFmtId="0" fontId="41" fillId="5" borderId="80" xfId="0" applyFont="1" applyFill="1" applyBorder="1" applyAlignment="1" applyProtection="1">
      <alignment horizontal="center" vertical="center"/>
      <protection hidden="1"/>
    </xf>
    <xf numFmtId="0" fontId="3" fillId="0" borderId="37" xfId="0" applyFont="1" applyFill="1" applyBorder="1" applyAlignment="1" applyProtection="1">
      <alignment horizontal="left" vertical="center" wrapText="1"/>
      <protection hidden="1"/>
    </xf>
    <xf numFmtId="0" fontId="40" fillId="0" borderId="37" xfId="0" applyFont="1" applyFill="1" applyBorder="1" applyAlignment="1" applyProtection="1">
      <alignment horizontal="left" vertical="center" wrapText="1"/>
      <protection hidden="1"/>
    </xf>
    <xf numFmtId="0" fontId="3" fillId="0" borderId="13" xfId="0" applyFont="1" applyFill="1" applyBorder="1" applyAlignment="1" applyProtection="1">
      <alignment horizontal="left" vertical="center" wrapText="1"/>
      <protection hidden="1"/>
    </xf>
    <xf numFmtId="0" fontId="40" fillId="0" borderId="13" xfId="0" applyFont="1" applyFill="1" applyBorder="1" applyAlignment="1" applyProtection="1">
      <alignment horizontal="left" vertical="center" wrapText="1"/>
      <protection hidden="1"/>
    </xf>
    <xf numFmtId="0" fontId="3" fillId="0" borderId="22" xfId="0" applyFont="1" applyFill="1" applyBorder="1" applyAlignment="1" applyProtection="1">
      <alignment horizontal="left" vertical="center" wrapText="1"/>
      <protection hidden="1"/>
    </xf>
    <xf numFmtId="0" fontId="40" fillId="0" borderId="22" xfId="0" applyFont="1" applyFill="1" applyBorder="1" applyAlignment="1" applyProtection="1">
      <alignment horizontal="left" vertical="center" wrapText="1"/>
      <protection hidden="1"/>
    </xf>
    <xf numFmtId="0" fontId="3" fillId="0" borderId="39" xfId="0" applyFont="1" applyFill="1" applyBorder="1" applyAlignment="1" applyProtection="1">
      <alignment horizontal="left" vertical="center" wrapText="1"/>
      <protection hidden="1"/>
    </xf>
    <xf numFmtId="0" fontId="40" fillId="0" borderId="39" xfId="0" applyFont="1" applyFill="1" applyBorder="1" applyAlignment="1" applyProtection="1">
      <alignment horizontal="left" vertical="center" wrapText="1"/>
      <protection hidden="1"/>
    </xf>
    <xf numFmtId="0" fontId="40" fillId="0" borderId="14" xfId="0" applyFont="1" applyFill="1" applyBorder="1" applyAlignment="1" applyProtection="1">
      <alignment horizontal="left" wrapText="1"/>
      <protection hidden="1"/>
    </xf>
    <xf numFmtId="0" fontId="40" fillId="0" borderId="39" xfId="0" applyFont="1" applyFill="1" applyBorder="1" applyAlignment="1" applyProtection="1">
      <alignment horizontal="left" wrapText="1"/>
      <protection hidden="1"/>
    </xf>
    <xf numFmtId="3" fontId="41" fillId="6" borderId="3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0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14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37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13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22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6" fillId="11" borderId="13" xfId="0" applyFont="1" applyFill="1" applyBorder="1" applyAlignment="1">
      <alignment horizontal="left"/>
    </xf>
    <xf numFmtId="4" fontId="7" fillId="11" borderId="13" xfId="0" applyNumberFormat="1" applyFont="1" applyFill="1" applyBorder="1"/>
    <xf numFmtId="4" fontId="36" fillId="11" borderId="46" xfId="0" applyNumberFormat="1" applyFont="1" applyFill="1" applyBorder="1"/>
    <xf numFmtId="0" fontId="6" fillId="9" borderId="13" xfId="0" applyFont="1" applyFill="1" applyBorder="1" applyAlignment="1">
      <alignment horizontal="left"/>
    </xf>
    <xf numFmtId="4" fontId="7" fillId="9" borderId="13" xfId="0" applyNumberFormat="1" applyFont="1" applyFill="1" applyBorder="1"/>
    <xf numFmtId="4" fontId="36" fillId="9" borderId="46" xfId="0" applyNumberFormat="1" applyFont="1" applyFill="1" applyBorder="1"/>
    <xf numFmtId="4" fontId="26" fillId="9" borderId="13" xfId="0" applyNumberFormat="1" applyFont="1" applyFill="1" applyBorder="1"/>
    <xf numFmtId="4" fontId="6" fillId="9" borderId="13" xfId="0" applyNumberFormat="1" applyFont="1" applyFill="1" applyBorder="1"/>
    <xf numFmtId="0" fontId="6" fillId="9" borderId="14" xfId="0" applyFont="1" applyFill="1" applyBorder="1" applyAlignment="1">
      <alignment horizontal="left"/>
    </xf>
    <xf numFmtId="4" fontId="7" fillId="9" borderId="14" xfId="0" applyNumberFormat="1" applyFont="1" applyFill="1" applyBorder="1"/>
    <xf numFmtId="0" fontId="36" fillId="11" borderId="28" xfId="0" applyFont="1" applyFill="1" applyBorder="1" applyProtection="1">
      <protection hidden="1"/>
    </xf>
    <xf numFmtId="0" fontId="7" fillId="11" borderId="28" xfId="0" applyFont="1" applyFill="1" applyBorder="1" applyProtection="1">
      <protection hidden="1"/>
    </xf>
    <xf numFmtId="4" fontId="36" fillId="9" borderId="81" xfId="0" applyNumberFormat="1" applyFont="1" applyFill="1" applyBorder="1"/>
    <xf numFmtId="4" fontId="26" fillId="9" borderId="14" xfId="0" applyNumberFormat="1" applyFont="1" applyFill="1" applyBorder="1"/>
    <xf numFmtId="4" fontId="6" fillId="9" borderId="14" xfId="0" applyNumberFormat="1" applyFont="1" applyFill="1" applyBorder="1"/>
    <xf numFmtId="4" fontId="36" fillId="0" borderId="82" xfId="0" applyNumberFormat="1" applyFont="1" applyFill="1" applyBorder="1"/>
    <xf numFmtId="4" fontId="7" fillId="11" borderId="28" xfId="0" applyNumberFormat="1" applyFont="1" applyFill="1" applyBorder="1"/>
    <xf numFmtId="4" fontId="36" fillId="5" borderId="69" xfId="0" applyNumberFormat="1" applyFont="1" applyFill="1" applyBorder="1"/>
    <xf numFmtId="4" fontId="26" fillId="5" borderId="14" xfId="0" applyNumberFormat="1" applyFont="1" applyFill="1" applyBorder="1"/>
    <xf numFmtId="4" fontId="6" fillId="5" borderId="14" xfId="0" applyNumberFormat="1" applyFont="1" applyFill="1" applyBorder="1"/>
    <xf numFmtId="3" fontId="33" fillId="9" borderId="0" xfId="0" applyNumberFormat="1" applyFont="1" applyFill="1" applyAlignment="1" applyProtection="1">
      <alignment horizontal="center" wrapText="1"/>
      <protection hidden="1"/>
    </xf>
    <xf numFmtId="0" fontId="32" fillId="9" borderId="24" xfId="0" applyFont="1" applyFill="1" applyBorder="1" applyProtection="1">
      <protection hidden="1"/>
    </xf>
    <xf numFmtId="3" fontId="33" fillId="9" borderId="24" xfId="0" applyNumberFormat="1" applyFont="1" applyFill="1" applyBorder="1" applyAlignment="1" applyProtection="1">
      <alignment horizontal="center" wrapText="1"/>
      <protection hidden="1"/>
    </xf>
    <xf numFmtId="0" fontId="30" fillId="14" borderId="24" xfId="0" applyFont="1" applyFill="1" applyBorder="1" applyAlignment="1" applyProtection="1">
      <alignment horizontal="center" wrapText="1"/>
      <protection hidden="1"/>
    </xf>
    <xf numFmtId="4" fontId="30" fillId="14" borderId="0" xfId="0" applyNumberFormat="1" applyFont="1" applyFill="1" applyAlignment="1" applyProtection="1">
      <alignment horizontal="right"/>
      <protection hidden="1"/>
    </xf>
    <xf numFmtId="4" fontId="30" fillId="14" borderId="14" xfId="0" applyNumberFormat="1" applyFont="1" applyFill="1" applyBorder="1" applyAlignment="1" applyProtection="1">
      <alignment horizontal="right"/>
      <protection hidden="1"/>
    </xf>
    <xf numFmtId="4" fontId="30" fillId="14" borderId="24" xfId="0" applyNumberFormat="1" applyFont="1" applyFill="1" applyBorder="1" applyAlignment="1" applyProtection="1">
      <alignment horizontal="right"/>
      <protection hidden="1"/>
    </xf>
    <xf numFmtId="0" fontId="29" fillId="14" borderId="24" xfId="0" applyFont="1" applyFill="1" applyBorder="1" applyAlignment="1" applyProtection="1">
      <alignment wrapText="1"/>
      <protection hidden="1"/>
    </xf>
    <xf numFmtId="4" fontId="30" fillId="14" borderId="24" xfId="0" applyNumberFormat="1" applyFont="1" applyFill="1" applyBorder="1" applyAlignment="1" applyProtection="1">
      <alignment horizontal="right" wrapText="1"/>
      <protection hidden="1"/>
    </xf>
    <xf numFmtId="4" fontId="30" fillId="14" borderId="0" xfId="0" applyNumberFormat="1" applyFont="1" applyFill="1" applyBorder="1" applyAlignment="1" applyProtection="1">
      <alignment horizontal="right"/>
      <protection hidden="1"/>
    </xf>
    <xf numFmtId="4" fontId="30" fillId="14" borderId="3" xfId="0" applyNumberFormat="1" applyFont="1" applyFill="1" applyBorder="1" applyAlignment="1" applyProtection="1">
      <alignment horizontal="right" wrapText="1"/>
      <protection hidden="1"/>
    </xf>
    <xf numFmtId="4" fontId="44" fillId="15" borderId="0" xfId="0" applyNumberFormat="1" applyFont="1" applyFill="1" applyAlignment="1" applyProtection="1">
      <alignment wrapText="1"/>
      <protection hidden="1"/>
    </xf>
    <xf numFmtId="0" fontId="32" fillId="15" borderId="24" xfId="0" applyFont="1" applyFill="1" applyBorder="1" applyAlignment="1" applyProtection="1">
      <alignment horizontal="center"/>
      <protection hidden="1"/>
    </xf>
    <xf numFmtId="4" fontId="44" fillId="15" borderId="24" xfId="0" applyNumberFormat="1" applyFont="1" applyFill="1" applyBorder="1" applyAlignment="1" applyProtection="1">
      <alignment wrapText="1"/>
      <protection hidden="1"/>
    </xf>
    <xf numFmtId="49" fontId="6" fillId="12" borderId="95" xfId="0" applyNumberFormat="1" applyFont="1" applyFill="1" applyBorder="1" applyAlignment="1">
      <alignment horizontal="left" vertical="center"/>
    </xf>
    <xf numFmtId="49" fontId="20" fillId="12" borderId="96" xfId="0" applyNumberFormat="1" applyFont="1" applyFill="1" applyBorder="1" applyAlignment="1">
      <alignment horizontal="left" vertical="center"/>
    </xf>
    <xf numFmtId="0" fontId="43" fillId="13" borderId="0" xfId="0" applyFont="1" applyFill="1" applyProtection="1"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8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16" borderId="0" xfId="0" applyFont="1" applyFill="1"/>
    <xf numFmtId="0" fontId="45" fillId="16" borderId="0" xfId="0" applyFont="1" applyFill="1"/>
    <xf numFmtId="0" fontId="7" fillId="16" borderId="0" xfId="0" applyFont="1" applyFill="1" applyAlignment="1">
      <alignment vertical="center"/>
    </xf>
    <xf numFmtId="0" fontId="0" fillId="16" borderId="0" xfId="0" applyFill="1" applyAlignment="1">
      <alignment vertical="center"/>
    </xf>
    <xf numFmtId="0" fontId="6" fillId="16" borderId="0" xfId="0" applyFont="1" applyFill="1" applyAlignment="1">
      <alignment horizontal="center"/>
    </xf>
    <xf numFmtId="49" fontId="6" fillId="16" borderId="0" xfId="0" applyNumberFormat="1" applyFont="1" applyFill="1" applyAlignment="1">
      <alignment horizontal="center"/>
    </xf>
    <xf numFmtId="0" fontId="6" fillId="16" borderId="0" xfId="0" applyFont="1" applyFill="1" applyAlignment="1">
      <alignment horizontal="left"/>
    </xf>
    <xf numFmtId="0" fontId="6" fillId="16" borderId="0" xfId="0" applyFont="1" applyFill="1"/>
    <xf numFmtId="0" fontId="7" fillId="0" borderId="6" xfId="0" applyFont="1" applyBorder="1" applyProtection="1">
      <protection hidden="1"/>
    </xf>
    <xf numFmtId="0" fontId="7" fillId="0" borderId="83" xfId="0" applyFont="1" applyBorder="1" applyProtection="1">
      <protection hidden="1"/>
    </xf>
    <xf numFmtId="0" fontId="7" fillId="0" borderId="13" xfId="0" applyFont="1" applyFill="1" applyBorder="1" applyProtection="1">
      <protection hidden="1"/>
    </xf>
    <xf numFmtId="0" fontId="6" fillId="10" borderId="13" xfId="0" applyFont="1" applyFill="1" applyBorder="1" applyProtection="1">
      <protection hidden="1"/>
    </xf>
    <xf numFmtId="0" fontId="7" fillId="10" borderId="13" xfId="0" applyFont="1" applyFill="1" applyBorder="1" applyProtection="1">
      <protection hidden="1"/>
    </xf>
    <xf numFmtId="0" fontId="7" fillId="10" borderId="13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Fill="1" applyBorder="1" applyProtection="1">
      <protection hidden="1"/>
    </xf>
    <xf numFmtId="0" fontId="7" fillId="11" borderId="13" xfId="0" applyFont="1" applyFill="1" applyBorder="1" applyAlignment="1" applyProtection="1">
      <alignment horizontal="center"/>
      <protection hidden="1"/>
    </xf>
    <xf numFmtId="1" fontId="7" fillId="0" borderId="14" xfId="0" applyNumberFormat="1" applyFont="1" applyBorder="1" applyProtection="1">
      <protection hidden="1"/>
    </xf>
    <xf numFmtId="0" fontId="6" fillId="17" borderId="0" xfId="0" applyFont="1" applyFill="1" applyBorder="1" applyAlignment="1">
      <alignment horizontal="left" vertical="center"/>
    </xf>
    <xf numFmtId="49" fontId="7" fillId="17" borderId="0" xfId="0" applyNumberFormat="1" applyFont="1" applyFill="1" applyBorder="1" applyAlignment="1">
      <alignment horizontal="left" vertical="center"/>
    </xf>
    <xf numFmtId="2" fontId="13" fillId="17" borderId="0" xfId="0" applyNumberFormat="1" applyFont="1" applyFill="1" applyBorder="1" applyAlignment="1">
      <alignment horizontal="left" vertical="center"/>
    </xf>
    <xf numFmtId="0" fontId="6" fillId="9" borderId="0" xfId="0" applyFont="1" applyFill="1" applyBorder="1" applyAlignment="1">
      <alignment horizontal="left" vertical="center"/>
    </xf>
    <xf numFmtId="49" fontId="7" fillId="9" borderId="0" xfId="0" applyNumberFormat="1" applyFont="1" applyFill="1" applyBorder="1" applyAlignment="1">
      <alignment horizontal="left" vertical="center"/>
    </xf>
    <xf numFmtId="2" fontId="13" fillId="9" borderId="0" xfId="0" applyNumberFormat="1" applyFont="1" applyFill="1" applyBorder="1" applyAlignment="1">
      <alignment horizontal="left" vertical="center"/>
    </xf>
    <xf numFmtId="49" fontId="46" fillId="0" borderId="13" xfId="0" applyNumberFormat="1" applyFont="1" applyFill="1" applyBorder="1" applyAlignment="1">
      <alignment horizontal="left" vertical="center"/>
    </xf>
    <xf numFmtId="0" fontId="7" fillId="0" borderId="8" xfId="0" applyFont="1" applyFill="1" applyBorder="1" applyProtection="1">
      <protection hidden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Protection="1">
      <protection hidden="1"/>
    </xf>
    <xf numFmtId="2" fontId="13" fillId="10" borderId="13" xfId="0" applyNumberFormat="1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/>
    </xf>
    <xf numFmtId="0" fontId="7" fillId="0" borderId="15" xfId="0" applyFont="1" applyBorder="1"/>
    <xf numFmtId="0" fontId="7" fillId="0" borderId="14" xfId="0" applyFont="1" applyBorder="1"/>
    <xf numFmtId="49" fontId="43" fillId="13" borderId="97" xfId="0" applyNumberFormat="1" applyFont="1" applyFill="1" applyBorder="1" applyAlignment="1">
      <alignment horizontal="left" vertical="center"/>
    </xf>
    <xf numFmtId="49" fontId="42" fillId="13" borderId="98" xfId="0" applyNumberFormat="1" applyFont="1" applyFill="1" applyBorder="1" applyAlignment="1">
      <alignment horizontal="left" vertical="center"/>
    </xf>
    <xf numFmtId="2" fontId="43" fillId="13" borderId="99" xfId="0" applyNumberFormat="1" applyFont="1" applyFill="1" applyBorder="1" applyAlignment="1">
      <alignment horizontal="right" vertical="center"/>
    </xf>
    <xf numFmtId="49" fontId="6" fillId="0" borderId="93" xfId="0" applyNumberFormat="1" applyFont="1" applyFill="1" applyBorder="1" applyAlignment="1">
      <alignment horizontal="left" vertical="center"/>
    </xf>
    <xf numFmtId="49" fontId="20" fillId="0" borderId="22" xfId="0" applyNumberFormat="1" applyFont="1" applyFill="1" applyBorder="1" applyAlignment="1">
      <alignment horizontal="left" vertical="center"/>
    </xf>
    <xf numFmtId="49" fontId="20" fillId="0" borderId="94" xfId="0" applyNumberFormat="1" applyFont="1" applyFill="1" applyBorder="1" applyAlignment="1">
      <alignment horizontal="left" vertical="center"/>
    </xf>
    <xf numFmtId="0" fontId="6" fillId="0" borderId="89" xfId="0" applyFont="1" applyFill="1" applyBorder="1" applyAlignment="1">
      <alignment horizontal="left" vertical="center"/>
    </xf>
    <xf numFmtId="49" fontId="20" fillId="0" borderId="90" xfId="0" applyNumberFormat="1" applyFont="1" applyFill="1" applyBorder="1" applyAlignment="1">
      <alignment horizontal="left" vertical="center"/>
    </xf>
    <xf numFmtId="49" fontId="6" fillId="0" borderId="89" xfId="0" applyNumberFormat="1" applyFont="1" applyFill="1" applyBorder="1" applyAlignment="1">
      <alignment horizontal="left" vertical="center"/>
    </xf>
    <xf numFmtId="0" fontId="6" fillId="0" borderId="91" xfId="0" applyFont="1" applyFill="1" applyBorder="1" applyAlignment="1">
      <alignment horizontal="left" vertical="center"/>
    </xf>
    <xf numFmtId="49" fontId="20" fillId="0" borderId="14" xfId="0" applyNumberFormat="1" applyFont="1" applyFill="1" applyBorder="1" applyAlignment="1">
      <alignment horizontal="left" vertical="center"/>
    </xf>
    <xf numFmtId="49" fontId="20" fillId="0" borderId="92" xfId="0" applyNumberFormat="1" applyFont="1" applyFill="1" applyBorder="1" applyAlignment="1">
      <alignment horizontal="left" vertical="center"/>
    </xf>
    <xf numFmtId="49" fontId="6" fillId="17" borderId="91" xfId="0" applyNumberFormat="1" applyFont="1" applyFill="1" applyBorder="1" applyAlignment="1">
      <alignment horizontal="left" vertical="center"/>
    </xf>
    <xf numFmtId="49" fontId="20" fillId="17" borderId="14" xfId="0" applyNumberFormat="1" applyFont="1" applyFill="1" applyBorder="1" applyAlignment="1">
      <alignment horizontal="left" vertical="center"/>
    </xf>
    <xf numFmtId="49" fontId="20" fillId="17" borderId="92" xfId="0" applyNumberFormat="1" applyFont="1" applyFill="1" applyBorder="1" applyAlignment="1">
      <alignment horizontal="left" vertical="center"/>
    </xf>
    <xf numFmtId="49" fontId="20" fillId="12" borderId="13" xfId="0" applyNumberFormat="1" applyFont="1" applyFill="1" applyBorder="1" applyAlignment="1">
      <alignment horizontal="left" vertical="center"/>
    </xf>
    <xf numFmtId="49" fontId="6" fillId="13" borderId="100" xfId="0" applyNumberFormat="1" applyFont="1" applyFill="1" applyBorder="1" applyAlignment="1">
      <alignment horizontal="left" vertical="center"/>
    </xf>
    <xf numFmtId="49" fontId="7" fillId="13" borderId="101" xfId="0" applyNumberFormat="1" applyFont="1" applyFill="1" applyBorder="1" applyAlignment="1">
      <alignment horizontal="left" vertical="center"/>
    </xf>
    <xf numFmtId="2" fontId="13" fillId="13" borderId="102" xfId="0" applyNumberFormat="1" applyFont="1" applyFill="1" applyBorder="1" applyAlignment="1">
      <alignment horizontal="left" vertical="center"/>
    </xf>
    <xf numFmtId="0" fontId="6" fillId="5" borderId="14" xfId="0" applyFont="1" applyFill="1" applyBorder="1" applyAlignment="1" applyProtection="1">
      <alignment horizontal="left"/>
      <protection hidden="1"/>
    </xf>
    <xf numFmtId="0" fontId="7" fillId="5" borderId="14" xfId="0" applyFont="1" applyFill="1" applyBorder="1" applyAlignment="1" applyProtection="1">
      <alignment horizontal="left"/>
      <protection hidden="1"/>
    </xf>
    <xf numFmtId="0" fontId="6" fillId="10" borderId="13" xfId="0" applyFont="1" applyFill="1" applyBorder="1" applyAlignment="1">
      <alignment horizontal="left"/>
    </xf>
    <xf numFmtId="4" fontId="7" fillId="10" borderId="13" xfId="0" applyNumberFormat="1" applyFont="1" applyFill="1" applyBorder="1"/>
    <xf numFmtId="4" fontId="36" fillId="10" borderId="46" xfId="0" applyNumberFormat="1" applyFont="1" applyFill="1" applyBorder="1"/>
    <xf numFmtId="4" fontId="26" fillId="10" borderId="13" xfId="0" applyNumberFormat="1" applyFont="1" applyFill="1" applyBorder="1"/>
    <xf numFmtId="4" fontId="6" fillId="10" borderId="13" xfId="0" applyNumberFormat="1" applyFont="1" applyFill="1" applyBorder="1"/>
    <xf numFmtId="0" fontId="6" fillId="9" borderId="13" xfId="0" applyFont="1" applyFill="1" applyBorder="1" applyAlignment="1">
      <alignment horizontal="left"/>
    </xf>
    <xf numFmtId="4" fontId="7" fillId="9" borderId="13" xfId="0" applyNumberFormat="1" applyFont="1" applyFill="1" applyBorder="1"/>
    <xf numFmtId="4" fontId="36" fillId="9" borderId="28" xfId="0" applyNumberFormat="1" applyFont="1" applyFill="1" applyBorder="1"/>
    <xf numFmtId="4" fontId="26" fillId="9" borderId="13" xfId="0" applyNumberFormat="1" applyFont="1" applyFill="1" applyBorder="1"/>
    <xf numFmtId="4" fontId="6" fillId="9" borderId="13" xfId="0" applyNumberFormat="1" applyFont="1" applyFill="1" applyBorder="1"/>
    <xf numFmtId="0" fontId="6" fillId="10" borderId="13" xfId="0" applyFont="1" applyFill="1" applyBorder="1" applyAlignment="1">
      <alignment horizontal="left"/>
    </xf>
    <xf numFmtId="4" fontId="7" fillId="10" borderId="13" xfId="0" applyNumberFormat="1" applyFont="1" applyFill="1" applyBorder="1"/>
    <xf numFmtId="4" fontId="36" fillId="10" borderId="28" xfId="0" applyNumberFormat="1" applyFont="1" applyFill="1" applyBorder="1"/>
    <xf numFmtId="4" fontId="26" fillId="10" borderId="13" xfId="0" applyNumberFormat="1" applyFont="1" applyFill="1" applyBorder="1"/>
    <xf numFmtId="4" fontId="6" fillId="10" borderId="13" xfId="0" applyNumberFormat="1" applyFont="1" applyFill="1" applyBorder="1"/>
    <xf numFmtId="4" fontId="36" fillId="9" borderId="84" xfId="0" applyNumberFormat="1" applyFont="1" applyFill="1" applyBorder="1"/>
    <xf numFmtId="4" fontId="7" fillId="0" borderId="15" xfId="0" applyNumberFormat="1" applyFont="1" applyFill="1" applyBorder="1"/>
    <xf numFmtId="4" fontId="36" fillId="0" borderId="85" xfId="0" applyNumberFormat="1" applyFont="1" applyFill="1" applyBorder="1"/>
    <xf numFmtId="4" fontId="26" fillId="0" borderId="15" xfId="0" applyNumberFormat="1" applyFont="1" applyFill="1" applyBorder="1"/>
    <xf numFmtId="4" fontId="6" fillId="8" borderId="15" xfId="0" applyNumberFormat="1" applyFont="1" applyFill="1" applyBorder="1"/>
    <xf numFmtId="0" fontId="6" fillId="10" borderId="14" xfId="0" applyFont="1" applyFill="1" applyBorder="1" applyAlignment="1">
      <alignment horizontal="left"/>
    </xf>
    <xf numFmtId="4" fontId="7" fillId="10" borderId="14" xfId="0" applyNumberFormat="1" applyFont="1" applyFill="1" applyBorder="1"/>
    <xf numFmtId="4" fontId="36" fillId="10" borderId="81" xfId="0" applyNumberFormat="1" applyFont="1" applyFill="1" applyBorder="1"/>
    <xf numFmtId="4" fontId="26" fillId="10" borderId="14" xfId="0" applyNumberFormat="1" applyFont="1" applyFill="1" applyBorder="1"/>
    <xf numFmtId="4" fontId="6" fillId="10" borderId="14" xfId="0" applyNumberFormat="1" applyFont="1" applyFill="1" applyBorder="1"/>
    <xf numFmtId="4" fontId="36" fillId="0" borderId="84" xfId="0" applyNumberFormat="1" applyFont="1" applyFill="1" applyBorder="1"/>
    <xf numFmtId="0" fontId="8" fillId="0" borderId="103" xfId="0" applyFont="1" applyBorder="1"/>
    <xf numFmtId="0" fontId="7" fillId="0" borderId="103" xfId="0" applyFont="1" applyBorder="1"/>
    <xf numFmtId="0" fontId="7" fillId="9" borderId="14" xfId="0" applyFont="1" applyFill="1" applyBorder="1" applyProtection="1">
      <protection hidden="1"/>
    </xf>
    <xf numFmtId="164" fontId="2" fillId="12" borderId="24" xfId="0" applyNumberFormat="1" applyFont="1" applyFill="1" applyBorder="1" applyAlignment="1" applyProtection="1">
      <alignment horizontal="right" wrapText="1"/>
      <protection hidden="1"/>
    </xf>
    <xf numFmtId="164" fontId="2" fillId="12" borderId="24" xfId="0" applyNumberFormat="1" applyFont="1" applyFill="1" applyBorder="1" applyAlignment="1" applyProtection="1">
      <alignment horizontal="left" wrapText="1"/>
      <protection hidden="1"/>
    </xf>
    <xf numFmtId="0" fontId="14" fillId="18" borderId="2" xfId="0" applyFont="1" applyFill="1" applyBorder="1" applyAlignment="1" applyProtection="1">
      <alignment vertical="center"/>
      <protection hidden="1"/>
    </xf>
    <xf numFmtId="0" fontId="0" fillId="18" borderId="3" xfId="0" applyFill="1" applyBorder="1" applyProtection="1">
      <protection hidden="1"/>
    </xf>
    <xf numFmtId="0" fontId="25" fillId="18" borderId="4" xfId="0" applyFont="1" applyFill="1" applyBorder="1" applyAlignment="1" applyProtection="1">
      <alignment horizontal="right" indent="1"/>
      <protection hidden="1"/>
    </xf>
    <xf numFmtId="0" fontId="0" fillId="19" borderId="3" xfId="0" applyFill="1" applyBorder="1" applyProtection="1">
      <protection hidden="1"/>
    </xf>
    <xf numFmtId="0" fontId="0" fillId="19" borderId="4" xfId="0" applyFill="1" applyBorder="1" applyProtection="1">
      <protection hidden="1"/>
    </xf>
    <xf numFmtId="0" fontId="14" fillId="19" borderId="2" xfId="0" applyFont="1" applyFill="1" applyBorder="1" applyProtection="1">
      <protection hidden="1"/>
    </xf>
    <xf numFmtId="0" fontId="15" fillId="19" borderId="3" xfId="0" applyFont="1" applyFill="1" applyBorder="1" applyProtection="1">
      <protection hidden="1"/>
    </xf>
    <xf numFmtId="0" fontId="15" fillId="19" borderId="4" xfId="0" applyFont="1" applyFill="1" applyBorder="1" applyProtection="1">
      <protection hidden="1"/>
    </xf>
    <xf numFmtId="0" fontId="3" fillId="12" borderId="24" xfId="0" applyFont="1" applyFill="1" applyBorder="1" applyAlignment="1" applyProtection="1">
      <alignment horizontal="right"/>
      <protection hidden="1"/>
    </xf>
    <xf numFmtId="0" fontId="47" fillId="0" borderId="0" xfId="0" applyFont="1" applyProtection="1">
      <protection hidden="1"/>
    </xf>
    <xf numFmtId="0" fontId="2" fillId="2" borderId="3" xfId="0" applyFont="1" applyFill="1" applyBorder="1" applyAlignment="1" applyProtection="1">
      <alignment horizontal="left" wrapText="1" indent="2"/>
      <protection hidden="1"/>
    </xf>
    <xf numFmtId="0" fontId="2" fillId="2" borderId="4" xfId="0" applyFont="1" applyFill="1" applyBorder="1" applyAlignment="1" applyProtection="1">
      <alignment horizontal="left" wrapText="1" indent="2"/>
      <protection hidden="1"/>
    </xf>
    <xf numFmtId="0" fontId="2" fillId="4" borderId="2" xfId="0" applyFont="1" applyFill="1" applyBorder="1" applyAlignment="1" applyProtection="1">
      <alignment horizontal="center" wrapText="1"/>
      <protection hidden="1"/>
    </xf>
    <xf numFmtId="0" fontId="6" fillId="5" borderId="22" xfId="0" applyFont="1" applyFill="1" applyBorder="1" applyProtection="1">
      <protection hidden="1"/>
    </xf>
    <xf numFmtId="0" fontId="7" fillId="0" borderId="86" xfId="0" applyFont="1" applyBorder="1" applyProtection="1">
      <protection hidden="1"/>
    </xf>
    <xf numFmtId="0" fontId="7" fillId="0" borderId="87" xfId="0" applyFont="1" applyBorder="1" applyAlignment="1" applyProtection="1">
      <alignment horizontal="center"/>
      <protection hidden="1"/>
    </xf>
    <xf numFmtId="0" fontId="6" fillId="9" borderId="0" xfId="0" applyFont="1" applyFill="1" applyBorder="1" applyAlignment="1">
      <alignment horizontal="left"/>
    </xf>
    <xf numFmtId="4" fontId="7" fillId="9" borderId="0" xfId="0" applyNumberFormat="1" applyFont="1" applyFill="1" applyBorder="1"/>
    <xf numFmtId="4" fontId="36" fillId="9" borderId="67" xfId="0" applyNumberFormat="1" applyFont="1" applyFill="1" applyBorder="1"/>
    <xf numFmtId="4" fontId="26" fillId="9" borderId="0" xfId="0" applyNumberFormat="1" applyFont="1" applyFill="1" applyBorder="1"/>
    <xf numFmtId="4" fontId="6" fillId="9" borderId="0" xfId="0" applyNumberFormat="1" applyFont="1" applyFill="1" applyBorder="1"/>
    <xf numFmtId="0" fontId="6" fillId="5" borderId="0" xfId="0" applyFont="1" applyFill="1" applyBorder="1" applyAlignment="1">
      <alignment horizontal="left"/>
    </xf>
    <xf numFmtId="4" fontId="7" fillId="5" borderId="0" xfId="0" applyNumberFormat="1" applyFont="1" applyFill="1" applyBorder="1"/>
    <xf numFmtId="4" fontId="36" fillId="5" borderId="67" xfId="0" applyNumberFormat="1" applyFont="1" applyFill="1" applyBorder="1"/>
    <xf numFmtId="4" fontId="26" fillId="5" borderId="0" xfId="0" applyNumberFormat="1" applyFont="1" applyFill="1" applyBorder="1"/>
    <xf numFmtId="4" fontId="6" fillId="5" borderId="0" xfId="0" applyNumberFormat="1" applyFont="1" applyFill="1" applyBorder="1"/>
    <xf numFmtId="0" fontId="6" fillId="11" borderId="0" xfId="0" applyFont="1" applyFill="1" applyBorder="1" applyProtection="1">
      <protection hidden="1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right"/>
    </xf>
    <xf numFmtId="0" fontId="18" fillId="3" borderId="88" xfId="0" applyFont="1" applyFill="1" applyBorder="1" applyAlignment="1">
      <alignment horizontal="center"/>
    </xf>
    <xf numFmtId="0" fontId="24" fillId="3" borderId="0" xfId="0" applyFont="1" applyFill="1" applyBorder="1" applyAlignment="1">
      <alignment horizontal="center"/>
    </xf>
    <xf numFmtId="4" fontId="36" fillId="0" borderId="0" xfId="0" applyNumberFormat="1" applyFont="1" applyFill="1" applyBorder="1"/>
    <xf numFmtId="0" fontId="48" fillId="0" borderId="0" xfId="0" applyFont="1" applyFill="1" applyProtection="1">
      <protection hidden="1"/>
    </xf>
    <xf numFmtId="0" fontId="6" fillId="0" borderId="24" xfId="0" applyFont="1" applyBorder="1" applyAlignment="1" applyProtection="1">
      <alignment horizontal="center"/>
      <protection hidden="1"/>
    </xf>
    <xf numFmtId="0" fontId="37" fillId="0" borderId="34" xfId="0" applyFont="1" applyFill="1" applyBorder="1" applyAlignment="1" applyProtection="1">
      <alignment horizontal="left"/>
      <protection locked="0" hidden="1"/>
    </xf>
    <xf numFmtId="0" fontId="37" fillId="0" borderId="14" xfId="0" applyFont="1" applyFill="1" applyBorder="1" applyAlignment="1" applyProtection="1">
      <alignment horizontal="left"/>
      <protection locked="0" hidden="1"/>
    </xf>
    <xf numFmtId="0" fontId="37" fillId="0" borderId="32" xfId="0" applyFont="1" applyFill="1" applyBorder="1" applyAlignment="1" applyProtection="1">
      <alignment horizontal="left"/>
      <protection locked="0" hidden="1"/>
    </xf>
    <xf numFmtId="40" fontId="20" fillId="0" borderId="24" xfId="0" applyNumberFormat="1" applyFont="1" applyBorder="1" applyAlignment="1" applyProtection="1">
      <alignment horizontal="right"/>
      <protection hidden="1"/>
    </xf>
    <xf numFmtId="14" fontId="2" fillId="0" borderId="13" xfId="0" applyNumberFormat="1" applyFont="1" applyBorder="1" applyAlignment="1" applyProtection="1">
      <alignment horizontal="left" vertical="center" wrapText="1"/>
      <protection hidden="1"/>
    </xf>
    <xf numFmtId="0" fontId="17" fillId="0" borderId="13" xfId="0" applyNumberFormat="1" applyFont="1" applyBorder="1" applyAlignment="1" applyProtection="1">
      <alignment horizontal="left" wrapText="1"/>
      <protection hidden="1"/>
    </xf>
    <xf numFmtId="168" fontId="2" fillId="12" borderId="24" xfId="0" applyNumberFormat="1" applyFont="1" applyFill="1" applyBorder="1" applyAlignment="1" applyProtection="1">
      <alignment horizontal="left" wrapText="1"/>
      <protection hidden="1"/>
    </xf>
    <xf numFmtId="49" fontId="3" fillId="0" borderId="14" xfId="0" applyNumberFormat="1" applyFont="1" applyFill="1" applyBorder="1" applyAlignment="1" applyProtection="1">
      <alignment horizontal="left" vertical="center" wrapText="1"/>
      <protection locked="0" hidden="1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2" fillId="0" borderId="22" xfId="0" applyFont="1" applyBorder="1" applyAlignment="1" applyProtection="1">
      <alignment horizontal="left" vertical="center" wrapText="1" indent="4"/>
      <protection hidden="1"/>
    </xf>
    <xf numFmtId="49" fontId="3" fillId="0" borderId="13" xfId="0" applyNumberFormat="1" applyFont="1" applyBorder="1" applyAlignment="1" applyProtection="1">
      <alignment horizontal="left" vertical="center" wrapText="1" indent="1"/>
      <protection locked="0" hidden="1"/>
    </xf>
    <xf numFmtId="40" fontId="2" fillId="0" borderId="0" xfId="0" applyNumberFormat="1" applyFont="1" applyBorder="1" applyAlignment="1" applyProtection="1">
      <alignment horizontal="right" vertical="center" wrapText="1"/>
      <protection hidden="1"/>
    </xf>
    <xf numFmtId="0" fontId="37" fillId="0" borderId="43" xfId="0" applyFont="1" applyFill="1" applyBorder="1" applyAlignment="1" applyProtection="1">
      <alignment horizontal="left"/>
      <protection locked="0" hidden="1"/>
    </xf>
    <xf numFmtId="0" fontId="37" fillId="0" borderId="22" xfId="0" applyFont="1" applyFill="1" applyBorder="1" applyAlignment="1" applyProtection="1">
      <alignment horizontal="left"/>
      <protection locked="0" hidden="1"/>
    </xf>
    <xf numFmtId="0" fontId="37" fillId="0" borderId="13" xfId="0" applyFont="1" applyFill="1" applyBorder="1" applyAlignment="1" applyProtection="1">
      <alignment horizontal="left"/>
      <protection locked="0" hidden="1"/>
    </xf>
    <xf numFmtId="0" fontId="2" fillId="6" borderId="2" xfId="0" applyFont="1" applyFill="1" applyBorder="1" applyAlignment="1" applyProtection="1">
      <alignment horizontal="left" wrapText="1" indent="1"/>
      <protection hidden="1"/>
    </xf>
    <xf numFmtId="0" fontId="2" fillId="6" borderId="3" xfId="0" applyFont="1" applyFill="1" applyBorder="1" applyAlignment="1" applyProtection="1">
      <alignment horizontal="left" wrapText="1" indent="1"/>
      <protection hidden="1"/>
    </xf>
    <xf numFmtId="0" fontId="37" fillId="0" borderId="19" xfId="0" applyFont="1" applyFill="1" applyBorder="1" applyAlignment="1" applyProtection="1">
      <alignment horizontal="left"/>
      <protection locked="0" hidden="1"/>
    </xf>
    <xf numFmtId="0" fontId="4" fillId="0" borderId="22" xfId="0" applyFont="1" applyBorder="1" applyAlignment="1" applyProtection="1">
      <alignment horizontal="center"/>
      <protection hidden="1"/>
    </xf>
    <xf numFmtId="0" fontId="37" fillId="0" borderId="25" xfId="0" applyFont="1" applyFill="1" applyBorder="1" applyAlignment="1" applyProtection="1">
      <alignment horizontal="left"/>
      <protection locked="0" hidden="1"/>
    </xf>
    <xf numFmtId="14" fontId="2" fillId="0" borderId="14" xfId="0" applyNumberFormat="1" applyFont="1" applyFill="1" applyBorder="1" applyAlignment="1" applyProtection="1">
      <alignment horizontal="center"/>
      <protection hidden="1"/>
    </xf>
    <xf numFmtId="0" fontId="37" fillId="0" borderId="33" xfId="0" applyFont="1" applyFill="1" applyBorder="1" applyAlignment="1" applyProtection="1">
      <alignment horizontal="left"/>
      <protection locked="0" hidden="1"/>
    </xf>
    <xf numFmtId="0" fontId="2" fillId="4" borderId="2" xfId="0" applyFont="1" applyFill="1" applyBorder="1" applyAlignment="1" applyProtection="1">
      <alignment horizontal="left" wrapText="1"/>
      <protection hidden="1"/>
    </xf>
    <xf numFmtId="0" fontId="2" fillId="4" borderId="3" xfId="0" applyFont="1" applyFill="1" applyBorder="1" applyAlignment="1" applyProtection="1">
      <alignment horizontal="left" wrapText="1"/>
      <protection hidden="1"/>
    </xf>
    <xf numFmtId="0" fontId="3" fillId="0" borderId="14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wrapText="1"/>
      <protection hidden="1"/>
    </xf>
    <xf numFmtId="0" fontId="2" fillId="4" borderId="3" xfId="0" applyFont="1" applyFill="1" applyBorder="1" applyAlignment="1" applyProtection="1">
      <alignment horizontal="center" wrapText="1"/>
      <protection hidden="1"/>
    </xf>
    <xf numFmtId="0" fontId="6" fillId="0" borderId="24" xfId="0" applyFont="1" applyBorder="1" applyAlignment="1" applyProtection="1">
      <alignment horizontal="left"/>
      <protection hidden="1"/>
    </xf>
    <xf numFmtId="0" fontId="2" fillId="2" borderId="3" xfId="0" applyFont="1" applyFill="1" applyBorder="1" applyAlignment="1" applyProtection="1">
      <alignment horizontal="left" wrapText="1" indent="2"/>
      <protection hidden="1"/>
    </xf>
    <xf numFmtId="0" fontId="2" fillId="2" borderId="4" xfId="0" applyFont="1" applyFill="1" applyBorder="1" applyAlignment="1" applyProtection="1">
      <alignment horizontal="left" wrapText="1" indent="2"/>
      <protection hidden="1"/>
    </xf>
    <xf numFmtId="0" fontId="21" fillId="0" borderId="0" xfId="0" applyFont="1" applyBorder="1" applyAlignment="1" applyProtection="1">
      <alignment horizontal="left" vertical="top" wrapText="1"/>
      <protection hidden="1"/>
    </xf>
    <xf numFmtId="0" fontId="2" fillId="12" borderId="24" xfId="0" applyFont="1" applyFill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40" fontId="17" fillId="0" borderId="0" xfId="0" applyNumberFormat="1" applyFont="1" applyFill="1" applyBorder="1" applyAlignment="1" applyProtection="1">
      <alignment horizontal="right" vertical="center" wrapText="1"/>
      <protection hidden="1"/>
    </xf>
    <xf numFmtId="9" fontId="2" fillId="0" borderId="0" xfId="2" applyFont="1" applyBorder="1" applyAlignment="1" applyProtection="1">
      <alignment horizontal="right" vertical="center" wrapText="1"/>
      <protection locked="0" hidden="1"/>
    </xf>
    <xf numFmtId="0" fontId="2" fillId="0" borderId="0" xfId="0" applyFont="1" applyBorder="1" applyAlignment="1" applyProtection="1">
      <alignment horizontal="left" vertical="center" wrapText="1" indent="4"/>
      <protection hidden="1"/>
    </xf>
    <xf numFmtId="0" fontId="30" fillId="6" borderId="24" xfId="0" applyFont="1" applyFill="1" applyBorder="1" applyAlignment="1" applyProtection="1">
      <alignment horizontal="left" wrapText="1"/>
      <protection hidden="1"/>
    </xf>
    <xf numFmtId="164" fontId="30" fillId="6" borderId="24" xfId="0" applyNumberFormat="1" applyFont="1" applyFill="1" applyBorder="1" applyAlignment="1" applyProtection="1">
      <alignment horizontal="left" wrapText="1" indent="1"/>
      <protection hidden="1"/>
    </xf>
    <xf numFmtId="0" fontId="30" fillId="0" borderId="14" xfId="0" applyFont="1" applyBorder="1" applyAlignment="1" applyProtection="1">
      <alignment horizontal="left"/>
      <protection hidden="1"/>
    </xf>
    <xf numFmtId="0" fontId="30" fillId="0" borderId="13" xfId="0" applyFont="1" applyBorder="1" applyAlignment="1" applyProtection="1">
      <alignment horizontal="left"/>
      <protection hidden="1"/>
    </xf>
    <xf numFmtId="9" fontId="30" fillId="0" borderId="14" xfId="0" applyNumberFormat="1" applyFont="1" applyFill="1" applyBorder="1" applyAlignment="1" applyProtection="1">
      <alignment horizontal="left"/>
      <protection hidden="1"/>
    </xf>
    <xf numFmtId="0" fontId="29" fillId="0" borderId="13" xfId="0" applyFont="1" applyFill="1" applyBorder="1" applyAlignment="1" applyProtection="1">
      <alignment horizontal="left" wrapText="1"/>
      <protection hidden="1"/>
    </xf>
    <xf numFmtId="167" fontId="29" fillId="0" borderId="13" xfId="0" applyNumberFormat="1" applyFont="1" applyFill="1" applyBorder="1" applyAlignment="1" applyProtection="1">
      <alignment horizontal="left" wrapText="1"/>
      <protection hidden="1"/>
    </xf>
    <xf numFmtId="14" fontId="6" fillId="0" borderId="0" xfId="0" applyNumberFormat="1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49" fillId="20" borderId="0" xfId="0" applyFont="1" applyFill="1" applyAlignment="1">
      <alignment horizontal="center" vertical="center"/>
    </xf>
    <xf numFmtId="0" fontId="49" fillId="21" borderId="0" xfId="0" applyFont="1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49" fillId="22" borderId="0" xfId="0" applyFont="1" applyFill="1" applyAlignment="1">
      <alignment horizontal="center" vertical="center"/>
    </xf>
    <xf numFmtId="0" fontId="49" fillId="17" borderId="0" xfId="0" applyFont="1" applyFill="1" applyAlignment="1">
      <alignment horizontal="center" vertical="center"/>
    </xf>
    <xf numFmtId="22" fontId="6" fillId="0" borderId="23" xfId="0" applyNumberFormat="1" applyFont="1" applyFill="1" applyBorder="1" applyAlignment="1" applyProtection="1">
      <alignment horizontal="center"/>
      <protection hidden="1"/>
    </xf>
    <xf numFmtId="0" fontId="6" fillId="0" borderId="23" xfId="0" applyFont="1" applyFill="1" applyBorder="1" applyAlignment="1" applyProtection="1">
      <alignment horizontal="center"/>
      <protection hidden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3149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3</xdr:row>
      <xdr:rowOff>45720</xdr:rowOff>
    </xdr:from>
    <xdr:to>
      <xdr:col>4</xdr:col>
      <xdr:colOff>556260</xdr:colOff>
      <xdr:row>5</xdr:row>
      <xdr:rowOff>137160</xdr:rowOff>
    </xdr:to>
    <xdr:pic>
      <xdr:nvPicPr>
        <xdr:cNvPr id="1230" name="Picture 12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27660"/>
          <a:ext cx="19964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0</xdr:row>
      <xdr:rowOff>38100</xdr:rowOff>
    </xdr:from>
    <xdr:to>
      <xdr:col>2</xdr:col>
      <xdr:colOff>2202180</xdr:colOff>
      <xdr:row>3</xdr:row>
      <xdr:rowOff>68580</xdr:rowOff>
    </xdr:to>
    <xdr:pic>
      <xdr:nvPicPr>
        <xdr:cNvPr id="2051" name="Picture 12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38100"/>
          <a:ext cx="23012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562892</xdr:colOff>
      <xdr:row>6</xdr:row>
      <xdr:rowOff>32529</xdr:rowOff>
    </xdr:from>
    <xdr:to>
      <xdr:col>6</xdr:col>
      <xdr:colOff>171670</xdr:colOff>
      <xdr:row>8</xdr:row>
      <xdr:rowOff>76091</xdr:rowOff>
    </xdr:to>
    <xdr:cxnSp macro="">
      <xdr:nvCxnSpPr>
        <xdr:cNvPr id="22" name="Соединительная линия уступом 21"/>
        <xdr:cNvCxnSpPr/>
      </xdr:nvCxnSpPr>
      <xdr:spPr>
        <a:xfrm rot="16200000" flipH="1">
          <a:off x="2696305" y="844246"/>
          <a:ext cx="336862" cy="218378"/>
        </a:xfrm>
        <a:prstGeom prst="bentConnector3">
          <a:avLst>
            <a:gd name="adj1" fmla="val 10016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392042</xdr:colOff>
      <xdr:row>6</xdr:row>
      <xdr:rowOff>33319</xdr:rowOff>
    </xdr:from>
    <xdr:to>
      <xdr:col>6</xdr:col>
      <xdr:colOff>153218</xdr:colOff>
      <xdr:row>13</xdr:row>
      <xdr:rowOff>74065</xdr:rowOff>
    </xdr:to>
    <xdr:cxnSp macro="">
      <xdr:nvCxnSpPr>
        <xdr:cNvPr id="33" name="Соединительная линия уступом 32"/>
        <xdr:cNvCxnSpPr/>
      </xdr:nvCxnSpPr>
      <xdr:spPr>
        <a:xfrm rot="16200000" flipH="1">
          <a:off x="2245861" y="1124630"/>
          <a:ext cx="1048448" cy="370776"/>
        </a:xfrm>
        <a:prstGeom prst="bentConnector3">
          <a:avLst>
            <a:gd name="adj1" fmla="val 10029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286668</xdr:colOff>
      <xdr:row>6</xdr:row>
      <xdr:rowOff>32531</xdr:rowOff>
    </xdr:from>
    <xdr:to>
      <xdr:col>6</xdr:col>
      <xdr:colOff>174256</xdr:colOff>
      <xdr:row>16</xdr:row>
      <xdr:rowOff>79458</xdr:rowOff>
    </xdr:to>
    <xdr:cxnSp macro="">
      <xdr:nvCxnSpPr>
        <xdr:cNvPr id="39" name="Соединительная линия уступом 38"/>
        <xdr:cNvCxnSpPr/>
      </xdr:nvCxnSpPr>
      <xdr:spPr>
        <a:xfrm rot="16200000" flipH="1">
          <a:off x="1847158" y="1417171"/>
          <a:ext cx="1769054" cy="504724"/>
        </a:xfrm>
        <a:prstGeom prst="bentConnector3">
          <a:avLst>
            <a:gd name="adj1" fmla="val 99996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104878</xdr:colOff>
      <xdr:row>6</xdr:row>
      <xdr:rowOff>32531</xdr:rowOff>
    </xdr:from>
    <xdr:to>
      <xdr:col>6</xdr:col>
      <xdr:colOff>154624</xdr:colOff>
      <xdr:row>23</xdr:row>
      <xdr:rowOff>79461</xdr:rowOff>
    </xdr:to>
    <xdr:cxnSp macro="">
      <xdr:nvCxnSpPr>
        <xdr:cNvPr id="40" name="Соединительная линия уступом 39"/>
        <xdr:cNvCxnSpPr/>
      </xdr:nvCxnSpPr>
      <xdr:spPr>
        <a:xfrm rot="16200000" flipH="1">
          <a:off x="460591" y="2629568"/>
          <a:ext cx="4340804" cy="651680"/>
        </a:xfrm>
        <a:prstGeom prst="bentConnector3">
          <a:avLst>
            <a:gd name="adj1" fmla="val 99999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581402</xdr:colOff>
      <xdr:row>6</xdr:row>
      <xdr:rowOff>32532</xdr:rowOff>
    </xdr:from>
    <xdr:to>
      <xdr:col>6</xdr:col>
      <xdr:colOff>147836</xdr:colOff>
      <xdr:row>26</xdr:row>
      <xdr:rowOff>74040</xdr:rowOff>
    </xdr:to>
    <xdr:cxnSp macro="">
      <xdr:nvCxnSpPr>
        <xdr:cNvPr id="41" name="Соединительная линия уступом 40"/>
        <xdr:cNvCxnSpPr/>
      </xdr:nvCxnSpPr>
      <xdr:spPr>
        <a:xfrm rot="16200000" flipH="1">
          <a:off x="-257187" y="3199031"/>
          <a:ext cx="5621240" cy="793191"/>
        </a:xfrm>
        <a:prstGeom prst="bentConnector3">
          <a:avLst>
            <a:gd name="adj1" fmla="val 10004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405055</xdr:colOff>
      <xdr:row>6</xdr:row>
      <xdr:rowOff>32532</xdr:rowOff>
    </xdr:from>
    <xdr:to>
      <xdr:col>6</xdr:col>
      <xdr:colOff>147774</xdr:colOff>
      <xdr:row>29</xdr:row>
      <xdr:rowOff>74037</xdr:rowOff>
    </xdr:to>
    <xdr:cxnSp macro="">
      <xdr:nvCxnSpPr>
        <xdr:cNvPr id="42" name="Соединительная линия уступом 41"/>
        <xdr:cNvCxnSpPr/>
      </xdr:nvCxnSpPr>
      <xdr:spPr>
        <a:xfrm rot="16200000" flipH="1">
          <a:off x="-698737" y="3471854"/>
          <a:ext cx="6335614" cy="961919"/>
        </a:xfrm>
        <a:prstGeom prst="bentConnector3">
          <a:avLst>
            <a:gd name="adj1" fmla="val 10004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564253</xdr:colOff>
      <xdr:row>6</xdr:row>
      <xdr:rowOff>32534</xdr:rowOff>
    </xdr:from>
    <xdr:to>
      <xdr:col>6</xdr:col>
      <xdr:colOff>104782</xdr:colOff>
      <xdr:row>47</xdr:row>
      <xdr:rowOff>80030</xdr:rowOff>
    </xdr:to>
    <xdr:cxnSp macro="">
      <xdr:nvCxnSpPr>
        <xdr:cNvPr id="43" name="Соединительная линия уступом 42"/>
        <xdr:cNvCxnSpPr/>
      </xdr:nvCxnSpPr>
      <xdr:spPr>
        <a:xfrm rot="16200000" flipH="1">
          <a:off x="-2610543" y="4323660"/>
          <a:ext cx="9063844" cy="1986541"/>
        </a:xfrm>
        <a:prstGeom prst="bentConnector3">
          <a:avLst>
            <a:gd name="adj1" fmla="val 9991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104881</xdr:colOff>
      <xdr:row>6</xdr:row>
      <xdr:rowOff>32534</xdr:rowOff>
    </xdr:from>
    <xdr:to>
      <xdr:col>6</xdr:col>
      <xdr:colOff>104774</xdr:colOff>
      <xdr:row>50</xdr:row>
      <xdr:rowOff>59063</xdr:rowOff>
    </xdr:to>
    <xdr:cxnSp macro="">
      <xdr:nvCxnSpPr>
        <xdr:cNvPr id="44" name="Соединительная линия уступом 43"/>
        <xdr:cNvCxnSpPr/>
      </xdr:nvCxnSpPr>
      <xdr:spPr>
        <a:xfrm rot="16200000" flipH="1">
          <a:off x="-3036444" y="4297809"/>
          <a:ext cx="9463894" cy="2438293"/>
        </a:xfrm>
        <a:prstGeom prst="bentConnector3">
          <a:avLst>
            <a:gd name="adj1" fmla="val 100021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223265</xdr:colOff>
      <xdr:row>6</xdr:row>
      <xdr:rowOff>32535</xdr:rowOff>
    </xdr:from>
    <xdr:to>
      <xdr:col>6</xdr:col>
      <xdr:colOff>160005</xdr:colOff>
      <xdr:row>32</xdr:row>
      <xdr:rowOff>78107</xdr:rowOff>
    </xdr:to>
    <xdr:cxnSp macro="">
      <xdr:nvCxnSpPr>
        <xdr:cNvPr id="67" name="Соединительная линия уступом 66"/>
        <xdr:cNvCxnSpPr/>
      </xdr:nvCxnSpPr>
      <xdr:spPr>
        <a:xfrm rot="16200000" flipH="1">
          <a:off x="-996051" y="3595001"/>
          <a:ext cx="6768317" cy="1148335"/>
        </a:xfrm>
        <a:prstGeom prst="bentConnector3">
          <a:avLst>
            <a:gd name="adj1" fmla="val 99959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10991</xdr:colOff>
      <xdr:row>6</xdr:row>
      <xdr:rowOff>32536</xdr:rowOff>
    </xdr:from>
    <xdr:to>
      <xdr:col>6</xdr:col>
      <xdr:colOff>131436</xdr:colOff>
      <xdr:row>37</xdr:row>
      <xdr:rowOff>80032</xdr:rowOff>
    </xdr:to>
    <xdr:cxnSp macro="">
      <xdr:nvCxnSpPr>
        <xdr:cNvPr id="69" name="Соединительная линия уступом 68"/>
        <xdr:cNvCxnSpPr/>
      </xdr:nvCxnSpPr>
      <xdr:spPr>
        <a:xfrm rot="16200000" flipH="1">
          <a:off x="-1478424" y="3865101"/>
          <a:ext cx="7492214" cy="1332033"/>
        </a:xfrm>
        <a:prstGeom prst="bentConnector3">
          <a:avLst>
            <a:gd name="adj1" fmla="val 99963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362874</xdr:colOff>
      <xdr:row>6</xdr:row>
      <xdr:rowOff>32535</xdr:rowOff>
    </xdr:from>
    <xdr:to>
      <xdr:col>6</xdr:col>
      <xdr:colOff>131445</xdr:colOff>
      <xdr:row>44</xdr:row>
      <xdr:rowOff>78104</xdr:rowOff>
    </xdr:to>
    <xdr:cxnSp macro="">
      <xdr:nvCxnSpPr>
        <xdr:cNvPr id="70" name="Соединительная линия уступом 69"/>
        <xdr:cNvCxnSpPr/>
      </xdr:nvCxnSpPr>
      <xdr:spPr>
        <a:xfrm rot="16200000" flipH="1">
          <a:off x="-2177830" y="4299169"/>
          <a:ext cx="8625689" cy="1597371"/>
        </a:xfrm>
        <a:prstGeom prst="bentConnector3">
          <a:avLst>
            <a:gd name="adj1" fmla="val 100023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137160</xdr:colOff>
      <xdr:row>1</xdr:row>
      <xdr:rowOff>7620</xdr:rowOff>
    </xdr:from>
    <xdr:to>
      <xdr:col>23</xdr:col>
      <xdr:colOff>525780</xdr:colOff>
      <xdr:row>5</xdr:row>
      <xdr:rowOff>45720</xdr:rowOff>
    </xdr:to>
    <xdr:pic>
      <xdr:nvPicPr>
        <xdr:cNvPr id="3108" name="Picture 371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1320" y="137160"/>
          <a:ext cx="28041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200942</xdr:colOff>
      <xdr:row>6</xdr:row>
      <xdr:rowOff>32530</xdr:rowOff>
    </xdr:from>
    <xdr:to>
      <xdr:col>6</xdr:col>
      <xdr:colOff>160020</xdr:colOff>
      <xdr:row>8</xdr:row>
      <xdr:rowOff>68646</xdr:rowOff>
    </xdr:to>
    <xdr:cxnSp macro="">
      <xdr:nvCxnSpPr>
        <xdr:cNvPr id="2" name="Соединительная линия уступом 1"/>
        <xdr:cNvCxnSpPr/>
      </xdr:nvCxnSpPr>
      <xdr:spPr>
        <a:xfrm>
          <a:off x="2393597" y="937405"/>
          <a:ext cx="568678" cy="243695"/>
        </a:xfrm>
        <a:prstGeom prst="bentConnector3">
          <a:avLst>
            <a:gd name="adj1" fmla="val -24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41523</xdr:colOff>
      <xdr:row>6</xdr:row>
      <xdr:rowOff>33319</xdr:rowOff>
    </xdr:from>
    <xdr:to>
      <xdr:col>6</xdr:col>
      <xdr:colOff>133351</xdr:colOff>
      <xdr:row>13</xdr:row>
      <xdr:rowOff>78112</xdr:rowOff>
    </xdr:to>
    <xdr:cxnSp macro="">
      <xdr:nvCxnSpPr>
        <xdr:cNvPr id="3" name="Соединительная линия уступом 2"/>
        <xdr:cNvCxnSpPr/>
      </xdr:nvCxnSpPr>
      <xdr:spPr>
        <a:xfrm rot="16200000" flipH="1">
          <a:off x="2109109" y="1070883"/>
          <a:ext cx="966805" cy="701428"/>
        </a:xfrm>
        <a:prstGeom prst="bentConnector3">
          <a:avLst>
            <a:gd name="adj1" fmla="val 100245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484787</xdr:colOff>
      <xdr:row>6</xdr:row>
      <xdr:rowOff>32532</xdr:rowOff>
    </xdr:from>
    <xdr:to>
      <xdr:col>6</xdr:col>
      <xdr:colOff>133494</xdr:colOff>
      <xdr:row>21</xdr:row>
      <xdr:rowOff>80059</xdr:rowOff>
    </xdr:to>
    <xdr:cxnSp macro="">
      <xdr:nvCxnSpPr>
        <xdr:cNvPr id="4" name="Соединительная линия уступом 3"/>
        <xdr:cNvCxnSpPr/>
      </xdr:nvCxnSpPr>
      <xdr:spPr>
        <a:xfrm rot="16200000" flipH="1">
          <a:off x="941602" y="2056027"/>
          <a:ext cx="3120246" cy="883006"/>
        </a:xfrm>
        <a:prstGeom prst="bentConnector3">
          <a:avLst>
            <a:gd name="adj1" fmla="val 9975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169650</xdr:colOff>
      <xdr:row>6</xdr:row>
      <xdr:rowOff>32530</xdr:rowOff>
    </xdr:from>
    <xdr:to>
      <xdr:col>6</xdr:col>
      <xdr:colOff>121924</xdr:colOff>
      <xdr:row>27</xdr:row>
      <xdr:rowOff>80045</xdr:rowOff>
    </xdr:to>
    <xdr:cxnSp macro="">
      <xdr:nvCxnSpPr>
        <xdr:cNvPr id="5" name="Соединительная линия уступом 4"/>
        <xdr:cNvCxnSpPr/>
      </xdr:nvCxnSpPr>
      <xdr:spPr>
        <a:xfrm rot="16200000" flipH="1">
          <a:off x="349693" y="2340417"/>
          <a:ext cx="3977497" cy="1171474"/>
        </a:xfrm>
        <a:prstGeom prst="bentConnector3">
          <a:avLst>
            <a:gd name="adj1" fmla="val 10005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602356</xdr:colOff>
      <xdr:row>6</xdr:row>
      <xdr:rowOff>32532</xdr:rowOff>
    </xdr:from>
    <xdr:to>
      <xdr:col>6</xdr:col>
      <xdr:colOff>160019</xdr:colOff>
      <xdr:row>30</xdr:row>
      <xdr:rowOff>78105</xdr:rowOff>
    </xdr:to>
    <xdr:cxnSp macro="">
      <xdr:nvCxnSpPr>
        <xdr:cNvPr id="6" name="Соединительная линия уступом 5"/>
        <xdr:cNvCxnSpPr/>
      </xdr:nvCxnSpPr>
      <xdr:spPr>
        <a:xfrm rot="16200000" flipH="1">
          <a:off x="-691" y="2513909"/>
          <a:ext cx="4539468" cy="1386463"/>
        </a:xfrm>
        <a:prstGeom prst="bentConnector3">
          <a:avLst>
            <a:gd name="adj1" fmla="val 100149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92634</xdr:colOff>
      <xdr:row>6</xdr:row>
      <xdr:rowOff>32532</xdr:rowOff>
    </xdr:from>
    <xdr:to>
      <xdr:col>6</xdr:col>
      <xdr:colOff>133349</xdr:colOff>
      <xdr:row>42</xdr:row>
      <xdr:rowOff>89548</xdr:rowOff>
    </xdr:to>
    <xdr:cxnSp macro="">
      <xdr:nvCxnSpPr>
        <xdr:cNvPr id="7" name="Соединительная линия уступом 6"/>
        <xdr:cNvCxnSpPr/>
      </xdr:nvCxnSpPr>
      <xdr:spPr>
        <a:xfrm rot="16200000" flipH="1">
          <a:off x="-1128042" y="3139158"/>
          <a:ext cx="6273018" cy="1869515"/>
        </a:xfrm>
        <a:prstGeom prst="bentConnector3">
          <a:avLst>
            <a:gd name="adj1" fmla="val 99956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288572</xdr:colOff>
      <xdr:row>6</xdr:row>
      <xdr:rowOff>32533</xdr:rowOff>
    </xdr:from>
    <xdr:to>
      <xdr:col>6</xdr:col>
      <xdr:colOff>93369</xdr:colOff>
      <xdr:row>24</xdr:row>
      <xdr:rowOff>106690</xdr:rowOff>
    </xdr:to>
    <xdr:cxnSp macro="">
      <xdr:nvCxnSpPr>
        <xdr:cNvPr id="20" name="Соединительная линия уступом 19"/>
        <xdr:cNvCxnSpPr/>
      </xdr:nvCxnSpPr>
      <xdr:spPr>
        <a:xfrm rot="16200000" flipH="1">
          <a:off x="603465" y="2213190"/>
          <a:ext cx="3567920" cy="1016356"/>
        </a:xfrm>
        <a:prstGeom prst="bentConnector3">
          <a:avLst>
            <a:gd name="adj1" fmla="val 9992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137160</xdr:colOff>
      <xdr:row>1</xdr:row>
      <xdr:rowOff>7620</xdr:rowOff>
    </xdr:from>
    <xdr:to>
      <xdr:col>23</xdr:col>
      <xdr:colOff>525780</xdr:colOff>
      <xdr:row>5</xdr:row>
      <xdr:rowOff>45720</xdr:rowOff>
    </xdr:to>
    <xdr:pic>
      <xdr:nvPicPr>
        <xdr:cNvPr id="4120" name="Picture 371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0900" y="137160"/>
          <a:ext cx="28041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200942</xdr:colOff>
      <xdr:row>6</xdr:row>
      <xdr:rowOff>32530</xdr:rowOff>
    </xdr:from>
    <xdr:to>
      <xdr:col>6</xdr:col>
      <xdr:colOff>160020</xdr:colOff>
      <xdr:row>8</xdr:row>
      <xdr:rowOff>68646</xdr:rowOff>
    </xdr:to>
    <xdr:cxnSp macro="">
      <xdr:nvCxnSpPr>
        <xdr:cNvPr id="2" name="Соединительная линия уступом 1"/>
        <xdr:cNvCxnSpPr/>
      </xdr:nvCxnSpPr>
      <xdr:spPr>
        <a:xfrm>
          <a:off x="2393597" y="937405"/>
          <a:ext cx="568678" cy="243695"/>
        </a:xfrm>
        <a:prstGeom prst="bentConnector3">
          <a:avLst>
            <a:gd name="adj1" fmla="val -24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41524</xdr:colOff>
      <xdr:row>6</xdr:row>
      <xdr:rowOff>33318</xdr:rowOff>
    </xdr:from>
    <xdr:to>
      <xdr:col>6</xdr:col>
      <xdr:colOff>104776</xdr:colOff>
      <xdr:row>12</xdr:row>
      <xdr:rowOff>78116</xdr:rowOff>
    </xdr:to>
    <xdr:cxnSp macro="">
      <xdr:nvCxnSpPr>
        <xdr:cNvPr id="3" name="Соединительная линия уступом 2"/>
        <xdr:cNvCxnSpPr/>
      </xdr:nvCxnSpPr>
      <xdr:spPr>
        <a:xfrm rot="16200000" flipH="1">
          <a:off x="1809070" y="1370922"/>
          <a:ext cx="1538309" cy="672852"/>
        </a:xfrm>
        <a:prstGeom prst="bentConnector3">
          <a:avLst>
            <a:gd name="adj1" fmla="val 10015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420018</xdr:colOff>
      <xdr:row>6</xdr:row>
      <xdr:rowOff>32531</xdr:rowOff>
    </xdr:from>
    <xdr:to>
      <xdr:col>6</xdr:col>
      <xdr:colOff>104799</xdr:colOff>
      <xdr:row>15</xdr:row>
      <xdr:rowOff>80086</xdr:rowOff>
    </xdr:to>
    <xdr:cxnSp macro="">
      <xdr:nvCxnSpPr>
        <xdr:cNvPr id="4" name="Соединительная линия уступом 3"/>
        <xdr:cNvCxnSpPr/>
      </xdr:nvCxnSpPr>
      <xdr:spPr>
        <a:xfrm rot="16200000" flipH="1">
          <a:off x="1470240" y="1470239"/>
          <a:ext cx="1977243" cy="911578"/>
        </a:xfrm>
        <a:prstGeom prst="bentConnector3">
          <a:avLst>
            <a:gd name="adj1" fmla="val 10010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147062</xdr:colOff>
      <xdr:row>6</xdr:row>
      <xdr:rowOff>32531</xdr:rowOff>
    </xdr:from>
    <xdr:to>
      <xdr:col>6</xdr:col>
      <xdr:colOff>76204</xdr:colOff>
      <xdr:row>21</xdr:row>
      <xdr:rowOff>80055</xdr:rowOff>
    </xdr:to>
    <xdr:cxnSp macro="">
      <xdr:nvCxnSpPr>
        <xdr:cNvPr id="6" name="Соединительная линия уступом 5"/>
        <xdr:cNvCxnSpPr/>
      </xdr:nvCxnSpPr>
      <xdr:spPr>
        <a:xfrm rot="16200000" flipH="1">
          <a:off x="589861" y="1475682"/>
          <a:ext cx="2834493" cy="1757942"/>
        </a:xfrm>
        <a:prstGeom prst="bentConnector3">
          <a:avLst>
            <a:gd name="adj1" fmla="val 10007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98073</xdr:colOff>
      <xdr:row>6</xdr:row>
      <xdr:rowOff>32532</xdr:rowOff>
    </xdr:from>
    <xdr:to>
      <xdr:col>6</xdr:col>
      <xdr:colOff>95251</xdr:colOff>
      <xdr:row>18</xdr:row>
      <xdr:rowOff>80066</xdr:rowOff>
    </xdr:to>
    <xdr:cxnSp macro="">
      <xdr:nvCxnSpPr>
        <xdr:cNvPr id="9" name="Соединительная линия уступом 8"/>
        <xdr:cNvCxnSpPr/>
      </xdr:nvCxnSpPr>
      <xdr:spPr>
        <a:xfrm rot="16200000" flipH="1">
          <a:off x="1094003" y="1532152"/>
          <a:ext cx="2405867" cy="1216378"/>
        </a:xfrm>
        <a:prstGeom prst="bentConnector3">
          <a:avLst>
            <a:gd name="adj1" fmla="val 9988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137160</xdr:colOff>
      <xdr:row>1</xdr:row>
      <xdr:rowOff>7620</xdr:rowOff>
    </xdr:from>
    <xdr:to>
      <xdr:col>23</xdr:col>
      <xdr:colOff>525780</xdr:colOff>
      <xdr:row>5</xdr:row>
      <xdr:rowOff>45720</xdr:rowOff>
    </xdr:to>
    <xdr:pic>
      <xdr:nvPicPr>
        <xdr:cNvPr id="5138" name="Picture 371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1320" y="137160"/>
          <a:ext cx="28041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96167</xdr:colOff>
      <xdr:row>6</xdr:row>
      <xdr:rowOff>32530</xdr:rowOff>
    </xdr:from>
    <xdr:to>
      <xdr:col>6</xdr:col>
      <xdr:colOff>171541</xdr:colOff>
      <xdr:row>8</xdr:row>
      <xdr:rowOff>78110</xdr:rowOff>
    </xdr:to>
    <xdr:cxnSp macro="">
      <xdr:nvCxnSpPr>
        <xdr:cNvPr id="2" name="Соединительная линия уступом 1"/>
        <xdr:cNvCxnSpPr/>
      </xdr:nvCxnSpPr>
      <xdr:spPr>
        <a:xfrm>
          <a:off x="2288822" y="937405"/>
          <a:ext cx="692503" cy="253220"/>
        </a:xfrm>
        <a:prstGeom prst="bentConnector3">
          <a:avLst>
            <a:gd name="adj1" fmla="val -89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513964</xdr:colOff>
      <xdr:row>6</xdr:row>
      <xdr:rowOff>33318</xdr:rowOff>
    </xdr:from>
    <xdr:to>
      <xdr:col>6</xdr:col>
      <xdr:colOff>188641</xdr:colOff>
      <xdr:row>11</xdr:row>
      <xdr:rowOff>49616</xdr:rowOff>
    </xdr:to>
    <xdr:cxnSp macro="">
      <xdr:nvCxnSpPr>
        <xdr:cNvPr id="3" name="Соединительная линия уступом 2"/>
        <xdr:cNvCxnSpPr/>
      </xdr:nvCxnSpPr>
      <xdr:spPr>
        <a:xfrm>
          <a:off x="2089399" y="938193"/>
          <a:ext cx="901454" cy="652485"/>
        </a:xfrm>
        <a:prstGeom prst="bentConnector3">
          <a:avLst>
            <a:gd name="adj1" fmla="val -71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221898</xdr:colOff>
      <xdr:row>6</xdr:row>
      <xdr:rowOff>32531</xdr:rowOff>
    </xdr:from>
    <xdr:to>
      <xdr:col>6</xdr:col>
      <xdr:colOff>198117</xdr:colOff>
      <xdr:row>14</xdr:row>
      <xdr:rowOff>68598</xdr:rowOff>
    </xdr:to>
    <xdr:cxnSp macro="">
      <xdr:nvCxnSpPr>
        <xdr:cNvPr id="4" name="Соединительная линия уступом 3"/>
        <xdr:cNvCxnSpPr/>
      </xdr:nvCxnSpPr>
      <xdr:spPr>
        <a:xfrm>
          <a:off x="1812573" y="937406"/>
          <a:ext cx="1187805" cy="1100947"/>
        </a:xfrm>
        <a:prstGeom prst="bentConnector3">
          <a:avLst>
            <a:gd name="adj1" fmla="val -132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307081</xdr:colOff>
      <xdr:row>6</xdr:row>
      <xdr:rowOff>32531</xdr:rowOff>
    </xdr:from>
    <xdr:to>
      <xdr:col>6</xdr:col>
      <xdr:colOff>104793</xdr:colOff>
      <xdr:row>31</xdr:row>
      <xdr:rowOff>80041</xdr:rowOff>
    </xdr:to>
    <xdr:cxnSp macro="">
      <xdr:nvCxnSpPr>
        <xdr:cNvPr id="5" name="Соединительная линия уступом 4"/>
        <xdr:cNvCxnSpPr/>
      </xdr:nvCxnSpPr>
      <xdr:spPr>
        <a:xfrm rot="16200000" flipH="1">
          <a:off x="323157" y="1894785"/>
          <a:ext cx="3548872" cy="1634113"/>
        </a:xfrm>
        <a:prstGeom prst="bentConnector3">
          <a:avLst>
            <a:gd name="adj1" fmla="val 9992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137160</xdr:colOff>
      <xdr:row>1</xdr:row>
      <xdr:rowOff>7620</xdr:rowOff>
    </xdr:from>
    <xdr:to>
      <xdr:col>23</xdr:col>
      <xdr:colOff>525780</xdr:colOff>
      <xdr:row>5</xdr:row>
      <xdr:rowOff>45720</xdr:rowOff>
    </xdr:to>
    <xdr:pic>
      <xdr:nvPicPr>
        <xdr:cNvPr id="6159" name="Picture 371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1320" y="137160"/>
          <a:ext cx="28041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11"/>
    <pageSetUpPr fitToPage="1"/>
  </sheetPr>
  <dimension ref="A1:DL99"/>
  <sheetViews>
    <sheetView showGridLines="0" tabSelected="1" zoomScaleNormal="100" zoomScaleSheetLayoutView="85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C11" sqref="C11"/>
    </sheetView>
  </sheetViews>
  <sheetFormatPr defaultColWidth="9.109375" defaultRowHeight="13.2" x14ac:dyDescent="0.25"/>
  <cols>
    <col min="1" max="1" width="0.88671875" style="1" customWidth="1"/>
    <col min="2" max="2" width="3.109375" style="1" customWidth="1"/>
    <col min="3" max="3" width="13.6640625" style="1" customWidth="1"/>
    <col min="4" max="4" width="4.6640625" style="1" customWidth="1"/>
    <col min="5" max="6" width="8.6640625" style="1" customWidth="1"/>
    <col min="7" max="7" width="6.6640625" style="1" customWidth="1"/>
    <col min="8" max="8" width="7.44140625" style="1" customWidth="1"/>
    <col min="9" max="9" width="11.6640625" style="1" customWidth="1"/>
    <col min="10" max="10" width="7.109375" style="1" customWidth="1"/>
    <col min="11" max="11" width="9.109375" style="1"/>
    <col min="12" max="12" width="15.109375" style="1" customWidth="1"/>
    <col min="13" max="13" width="7.33203125" style="1" customWidth="1"/>
    <col min="14" max="14" width="6.6640625" style="1" customWidth="1"/>
    <col min="15" max="15" width="8.6640625" style="1" customWidth="1"/>
    <col min="16" max="16" width="4.6640625" style="1" customWidth="1"/>
    <col min="17" max="17" width="6.6640625" style="1" customWidth="1"/>
    <col min="18" max="18" width="4.6640625" style="1" customWidth="1"/>
    <col min="19" max="19" width="12.6640625" style="1" customWidth="1"/>
    <col min="20" max="20" width="9.6640625" style="1" customWidth="1"/>
    <col min="21" max="21" width="37.88671875" style="1" bestFit="1" customWidth="1"/>
    <col min="22" max="22" width="9.109375" style="1" hidden="1" customWidth="1"/>
    <col min="23" max="23" width="4.33203125" style="1" hidden="1" customWidth="1"/>
    <col min="24" max="24" width="7.6640625" style="1" hidden="1" customWidth="1"/>
    <col min="25" max="26" width="14.44140625" style="1" hidden="1" customWidth="1"/>
    <col min="27" max="27" width="9.109375" style="1" hidden="1" customWidth="1"/>
    <col min="28" max="28" width="6.5546875" style="1" hidden="1" customWidth="1"/>
    <col min="29" max="29" width="4" style="1" hidden="1" customWidth="1"/>
    <col min="30" max="30" width="7.109375" style="1" hidden="1" customWidth="1"/>
    <col min="31" max="31" width="7.6640625" style="1" hidden="1" customWidth="1"/>
    <col min="32" max="32" width="4" style="1" hidden="1" customWidth="1"/>
    <col min="33" max="33" width="4.5546875" style="1" hidden="1" customWidth="1"/>
    <col min="34" max="34" width="9.44140625" style="1" hidden="1" customWidth="1"/>
    <col min="35" max="35" width="11.109375" style="1" hidden="1" customWidth="1"/>
    <col min="36" max="36" width="11.6640625" style="1" hidden="1" customWidth="1"/>
    <col min="37" max="37" width="4" style="1" hidden="1" customWidth="1"/>
    <col min="38" max="38" width="1.5546875" style="1" hidden="1" customWidth="1"/>
    <col min="39" max="39" width="1.6640625" style="1" hidden="1" customWidth="1"/>
    <col min="40" max="41" width="8.6640625" style="1" hidden="1" customWidth="1"/>
    <col min="42" max="42" width="4" style="1" hidden="1" customWidth="1"/>
    <col min="43" max="43" width="1.5546875" style="1" hidden="1" customWidth="1"/>
    <col min="44" max="44" width="1.6640625" style="1" hidden="1" customWidth="1"/>
    <col min="45" max="46" width="8.6640625" style="1" hidden="1" customWidth="1"/>
    <col min="47" max="47" width="4" style="1" hidden="1" customWidth="1"/>
    <col min="48" max="48" width="1.5546875" style="1" hidden="1" customWidth="1"/>
    <col min="49" max="49" width="1.6640625" style="1" hidden="1" customWidth="1"/>
    <col min="50" max="50" width="12.33203125" style="1" hidden="1" customWidth="1"/>
    <col min="51" max="51" width="13" style="1" hidden="1" customWidth="1"/>
    <col min="52" max="52" width="4" style="1" hidden="1" customWidth="1"/>
    <col min="53" max="53" width="1.5546875" style="1" hidden="1" customWidth="1"/>
    <col min="54" max="54" width="1.6640625" style="1" hidden="1" customWidth="1"/>
    <col min="55" max="56" width="12.33203125" style="1" hidden="1" customWidth="1"/>
    <col min="57" max="57" width="4" style="1" hidden="1" customWidth="1"/>
    <col min="58" max="58" width="1.5546875" style="1" hidden="1" customWidth="1"/>
    <col min="59" max="59" width="1.6640625" style="1" hidden="1" customWidth="1"/>
    <col min="60" max="60" width="12.6640625" style="1" hidden="1" customWidth="1"/>
    <col min="61" max="61" width="13.44140625" style="1" hidden="1" customWidth="1"/>
    <col min="62" max="62" width="4" style="1" hidden="1" customWidth="1"/>
    <col min="63" max="63" width="1.5546875" style="1" hidden="1" customWidth="1"/>
    <col min="64" max="64" width="1.6640625" style="1" hidden="1" customWidth="1"/>
    <col min="65" max="65" width="9.109375" style="1" hidden="1" customWidth="1"/>
    <col min="66" max="66" width="9.6640625" style="1" hidden="1" customWidth="1"/>
    <col min="67" max="67" width="4" style="1" hidden="1" customWidth="1"/>
    <col min="68" max="68" width="1.5546875" style="1" hidden="1" customWidth="1"/>
    <col min="69" max="69" width="1.6640625" style="1" hidden="1" customWidth="1"/>
    <col min="70" max="70" width="26.33203125" style="1" hidden="1" customWidth="1"/>
    <col min="71" max="71" width="26.88671875" style="1" hidden="1" customWidth="1"/>
    <col min="72" max="72" width="4" style="1" hidden="1" customWidth="1"/>
    <col min="73" max="73" width="1.5546875" style="1" hidden="1" customWidth="1"/>
    <col min="74" max="74" width="1.6640625" style="1" hidden="1" customWidth="1"/>
    <col min="75" max="75" width="14.6640625" style="1" hidden="1" customWidth="1"/>
    <col min="76" max="76" width="15.44140625" style="1" hidden="1" customWidth="1"/>
    <col min="77" max="77" width="4" style="1" hidden="1" customWidth="1"/>
    <col min="78" max="78" width="1.5546875" style="1" hidden="1" customWidth="1"/>
    <col min="79" max="79" width="1.6640625" style="1" hidden="1" customWidth="1"/>
    <col min="80" max="81" width="14.6640625" style="1" hidden="1" customWidth="1"/>
    <col min="82" max="82" width="4" style="1" hidden="1" customWidth="1"/>
    <col min="83" max="83" width="1.5546875" style="1" hidden="1" customWidth="1"/>
    <col min="84" max="84" width="1.6640625" style="1" hidden="1" customWidth="1"/>
    <col min="85" max="85" width="20.33203125" style="1" hidden="1" customWidth="1"/>
    <col min="86" max="86" width="20.88671875" style="1" hidden="1" customWidth="1"/>
    <col min="87" max="87" width="4" style="1" hidden="1" customWidth="1"/>
    <col min="88" max="88" width="1.5546875" style="1" hidden="1" customWidth="1"/>
    <col min="89" max="89" width="1.6640625" style="1" hidden="1" customWidth="1"/>
    <col min="90" max="91" width="7.109375" style="1" hidden="1" customWidth="1"/>
    <col min="92" max="92" width="4" style="1" hidden="1" customWidth="1"/>
    <col min="93" max="93" width="1.5546875" style="1" hidden="1" customWidth="1"/>
    <col min="94" max="94" width="1.6640625" style="1" hidden="1" customWidth="1"/>
    <col min="95" max="96" width="8.109375" style="1" hidden="1" customWidth="1"/>
    <col min="97" max="97" width="4" style="1" hidden="1" customWidth="1"/>
    <col min="98" max="98" width="1.5546875" style="1" hidden="1" customWidth="1"/>
    <col min="99" max="99" width="5.6640625" style="1" hidden="1" customWidth="1"/>
    <col min="100" max="100" width="8.109375" style="1" hidden="1" customWidth="1"/>
    <col min="101" max="101" width="3.5546875" style="1" hidden="1" customWidth="1"/>
    <col min="102" max="102" width="5.88671875" style="1" hidden="1" customWidth="1"/>
    <col min="103" max="103" width="6" style="1" hidden="1" customWidth="1"/>
    <col min="104" max="104" width="3.6640625" style="1" hidden="1" customWidth="1"/>
    <col min="105" max="105" width="4.33203125" style="1" hidden="1" customWidth="1"/>
    <col min="106" max="106" width="6.33203125" style="1" hidden="1" customWidth="1"/>
    <col min="107" max="107" width="10" style="1" hidden="1" customWidth="1"/>
    <col min="108" max="108" width="12.6640625" style="1" hidden="1" customWidth="1"/>
    <col min="109" max="109" width="6.33203125" style="1" hidden="1" customWidth="1"/>
    <col min="110" max="110" width="2.6640625" style="1" hidden="1" customWidth="1"/>
    <col min="111" max="111" width="4.88671875" style="1" hidden="1" customWidth="1"/>
    <col min="112" max="112" width="6.33203125" style="1" hidden="1" customWidth="1"/>
    <col min="113" max="113" width="3.6640625" style="1" hidden="1" customWidth="1"/>
    <col min="114" max="114" width="4.33203125" style="1" hidden="1" customWidth="1"/>
    <col min="115" max="116" width="6.33203125" style="1" hidden="1" customWidth="1"/>
    <col min="117" max="119" width="9.109375" style="1" customWidth="1"/>
    <col min="120" max="16384" width="9.109375" style="1"/>
  </cols>
  <sheetData>
    <row r="1" spans="1:116" ht="5.0999999999999996" customHeight="1" x14ac:dyDescent="0.25">
      <c r="L1" s="2"/>
      <c r="M1" s="2"/>
      <c r="N1" s="2"/>
      <c r="O1" s="2"/>
      <c r="P1" s="2"/>
      <c r="Q1" s="2"/>
      <c r="R1" s="2"/>
      <c r="S1" s="2"/>
      <c r="T1" s="2"/>
    </row>
    <row r="2" spans="1:116" ht="12.75" customHeight="1" x14ac:dyDescent="0.25">
      <c r="B2" s="784" t="s">
        <v>1893</v>
      </c>
      <c r="C2" s="784"/>
      <c r="D2" s="784"/>
      <c r="E2" s="119" t="s">
        <v>1184</v>
      </c>
      <c r="G2" s="785" t="s">
        <v>864</v>
      </c>
      <c r="H2" s="785"/>
      <c r="I2" s="785"/>
      <c r="J2" s="785"/>
      <c r="K2" s="718"/>
      <c r="L2" s="719"/>
      <c r="M2" s="719"/>
      <c r="N2" s="728" t="s">
        <v>348</v>
      </c>
      <c r="O2" s="760">
        <v>46174</v>
      </c>
      <c r="P2" s="760"/>
      <c r="Q2" s="760"/>
      <c r="R2" s="760"/>
      <c r="S2" s="102" t="s">
        <v>869</v>
      </c>
      <c r="T2" s="757">
        <f>T4-T6</f>
        <v>0</v>
      </c>
      <c r="U2" s="757"/>
      <c r="X2" s="116" t="s">
        <v>15</v>
      </c>
    </row>
    <row r="3" spans="1:116" ht="5.0999999999999996" customHeight="1" x14ac:dyDescent="0.25">
      <c r="B3" s="729" t="s">
        <v>724</v>
      </c>
      <c r="R3" s="2"/>
      <c r="S3" s="2"/>
    </row>
    <row r="4" spans="1:116" ht="12.75" customHeight="1" x14ac:dyDescent="0.25">
      <c r="B4" s="3"/>
      <c r="C4" s="3"/>
      <c r="D4" s="3"/>
      <c r="G4" s="786" t="s">
        <v>865</v>
      </c>
      <c r="H4" s="786"/>
      <c r="I4" s="761"/>
      <c r="J4" s="761"/>
      <c r="K4" s="761"/>
      <c r="L4" s="761"/>
      <c r="M4" s="761"/>
      <c r="N4" s="761"/>
      <c r="O4" s="762"/>
      <c r="P4" s="762"/>
      <c r="Q4" s="762"/>
      <c r="R4" s="761"/>
      <c r="S4" s="81" t="s">
        <v>870</v>
      </c>
      <c r="T4" s="787">
        <f>ORDER!AU114</f>
        <v>0</v>
      </c>
      <c r="U4" s="787"/>
      <c r="X4" s="117" t="s">
        <v>1186</v>
      </c>
    </row>
    <row r="5" spans="1:116" ht="12.75" customHeight="1" x14ac:dyDescent="0.25">
      <c r="B5" s="4"/>
      <c r="C5" s="3"/>
      <c r="D5" s="3"/>
      <c r="G5" s="786" t="s">
        <v>866</v>
      </c>
      <c r="H5" s="786"/>
      <c r="I5" s="764"/>
      <c r="J5" s="764"/>
      <c r="K5" s="764"/>
      <c r="L5" s="763" t="s">
        <v>867</v>
      </c>
      <c r="M5" s="763"/>
      <c r="N5" s="114" t="s">
        <v>1186</v>
      </c>
      <c r="O5" s="759" t="str">
        <f>IF(N5="ні","ціни без ПДВ","ціни з ПДВ 20%")</f>
        <v>ціни з ПДВ 20%</v>
      </c>
      <c r="P5" s="759"/>
      <c r="Q5" s="759"/>
      <c r="R5" s="230"/>
      <c r="S5" s="82" t="s">
        <v>871</v>
      </c>
      <c r="T5" s="788"/>
      <c r="U5" s="788"/>
      <c r="X5" s="118" t="s">
        <v>1187</v>
      </c>
    </row>
    <row r="6" spans="1:116" ht="12.75" customHeight="1" x14ac:dyDescent="0.25">
      <c r="B6" s="4"/>
      <c r="C6" s="3"/>
      <c r="D6" s="3"/>
      <c r="G6" s="786" t="s">
        <v>37</v>
      </c>
      <c r="H6" s="786"/>
      <c r="I6" s="764"/>
      <c r="J6" s="764"/>
      <c r="K6" s="764"/>
      <c r="L6" s="789" t="s">
        <v>868</v>
      </c>
      <c r="M6" s="789"/>
      <c r="N6" s="115">
        <v>1</v>
      </c>
      <c r="O6" s="758" t="s">
        <v>16</v>
      </c>
      <c r="P6" s="758"/>
      <c r="Q6" s="758"/>
      <c r="R6" s="231"/>
      <c r="S6" s="83" t="s">
        <v>872</v>
      </c>
      <c r="T6" s="765">
        <f>X95</f>
        <v>0</v>
      </c>
      <c r="U6" s="765"/>
    </row>
    <row r="7" spans="1:116" ht="5.0999999999999996" customHeight="1" thickBot="1" x14ac:dyDescent="0.3">
      <c r="B7" s="5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6"/>
      <c r="S7" s="6"/>
      <c r="T7" s="6"/>
      <c r="U7" s="5"/>
    </row>
    <row r="8" spans="1:116" ht="5.0999999999999996" customHeight="1" x14ac:dyDescent="0.25">
      <c r="B8" s="7"/>
      <c r="C8" s="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8"/>
      <c r="T8" s="8"/>
      <c r="U8" s="7"/>
    </row>
    <row r="9" spans="1:116" x14ac:dyDescent="0.25">
      <c r="B9" s="720" t="s">
        <v>858</v>
      </c>
      <c r="C9" s="721"/>
      <c r="D9" s="721"/>
      <c r="E9" s="721"/>
      <c r="F9" s="721"/>
      <c r="G9" s="721"/>
      <c r="H9" s="721"/>
      <c r="I9" s="721"/>
      <c r="J9" s="721"/>
      <c r="K9" s="721"/>
      <c r="L9" s="721"/>
      <c r="M9" s="721"/>
      <c r="N9" s="721"/>
      <c r="O9" s="721"/>
      <c r="P9" s="721"/>
      <c r="Q9" s="721"/>
      <c r="R9" s="721"/>
      <c r="S9" s="721"/>
      <c r="T9" s="721"/>
      <c r="U9" s="722" t="s">
        <v>1185</v>
      </c>
      <c r="AB9" s="31" t="str">
        <f>AD9</f>
        <v>СВЕРКА</v>
      </c>
      <c r="AD9" s="31" t="str">
        <f>"СВЕРКА"</f>
        <v>СВЕРКА</v>
      </c>
      <c r="CV9" s="202" t="s">
        <v>254</v>
      </c>
      <c r="DG9" s="202" t="s">
        <v>255</v>
      </c>
      <c r="DH9" s="202"/>
    </row>
    <row r="10" spans="1:116" ht="19.5" customHeight="1" x14ac:dyDescent="0.25">
      <c r="B10" s="67" t="s">
        <v>159</v>
      </c>
      <c r="C10" s="732" t="s">
        <v>841</v>
      </c>
      <c r="D10" s="34" t="s">
        <v>177</v>
      </c>
      <c r="E10" s="33" t="s">
        <v>842</v>
      </c>
      <c r="F10" s="47" t="s">
        <v>97</v>
      </c>
      <c r="G10" s="48" t="s">
        <v>117</v>
      </c>
      <c r="H10" s="9" t="s">
        <v>178</v>
      </c>
      <c r="I10" s="11" t="s">
        <v>843</v>
      </c>
      <c r="J10" s="61" t="s">
        <v>844</v>
      </c>
      <c r="K10" s="62" t="s">
        <v>845</v>
      </c>
      <c r="L10" s="9" t="s">
        <v>846</v>
      </c>
      <c r="M10" s="10" t="s">
        <v>847</v>
      </c>
      <c r="N10" s="11" t="s">
        <v>848</v>
      </c>
      <c r="O10" s="34" t="s">
        <v>244</v>
      </c>
      <c r="P10" s="34" t="s">
        <v>97</v>
      </c>
      <c r="Q10" s="34" t="s">
        <v>849</v>
      </c>
      <c r="R10" s="78" t="s">
        <v>850</v>
      </c>
      <c r="S10" s="67" t="s">
        <v>851</v>
      </c>
      <c r="T10" s="75" t="s">
        <v>852</v>
      </c>
      <c r="U10" s="46" t="s">
        <v>853</v>
      </c>
      <c r="Y10" s="198" t="s">
        <v>190</v>
      </c>
      <c r="Z10" s="199" t="s">
        <v>245</v>
      </c>
      <c r="AD10" s="753" t="str">
        <f>D10</f>
        <v>мод</v>
      </c>
      <c r="AE10" s="753"/>
      <c r="AF10" s="753"/>
      <c r="AG10" s="753"/>
      <c r="AI10" s="753" t="str">
        <f>E10</f>
        <v xml:space="preserve">
викон.</v>
      </c>
      <c r="AJ10" s="753"/>
      <c r="AK10" s="753"/>
      <c r="AL10" s="753"/>
      <c r="AN10" s="753" t="str">
        <f>F10</f>
        <v>тип</v>
      </c>
      <c r="AO10" s="753"/>
      <c r="AP10" s="753"/>
      <c r="AQ10" s="753"/>
      <c r="AS10" s="753" t="str">
        <f>G10</f>
        <v>ширина</v>
      </c>
      <c r="AT10" s="753"/>
      <c r="AU10" s="753"/>
      <c r="AV10" s="753"/>
      <c r="AX10" s="753" t="str">
        <f>H10</f>
        <v>декор</v>
      </c>
      <c r="AY10" s="753"/>
      <c r="AZ10" s="753"/>
      <c r="BA10" s="753"/>
      <c r="BC10" s="753" t="str">
        <f>I10</f>
        <v xml:space="preserve">
колір</v>
      </c>
      <c r="BD10" s="753"/>
      <c r="BE10" s="753"/>
      <c r="BF10" s="753"/>
      <c r="BH10" s="753" t="str">
        <f>J10</f>
        <v>заповн.</v>
      </c>
      <c r="BI10" s="753"/>
      <c r="BJ10" s="753"/>
      <c r="BK10" s="753"/>
      <c r="BM10" s="753" t="str">
        <f>K10</f>
        <v>скло</v>
      </c>
      <c r="BN10" s="753"/>
      <c r="BO10" s="753"/>
      <c r="BP10" s="753"/>
      <c r="BR10" s="753" t="str">
        <f>L10</f>
        <v>фурнітура</v>
      </c>
      <c r="BS10" s="753"/>
      <c r="BT10" s="753"/>
      <c r="BU10" s="753"/>
      <c r="BW10" s="753" t="str">
        <f>M10</f>
        <v>вент.від</v>
      </c>
      <c r="BX10" s="753"/>
      <c r="BY10" s="753"/>
      <c r="BZ10" s="753"/>
      <c r="CB10" s="753" t="str">
        <f>N10</f>
        <v>завіса</v>
      </c>
      <c r="CC10" s="753"/>
      <c r="CD10" s="753"/>
      <c r="CE10" s="753"/>
      <c r="CG10" s="753" t="str">
        <f>O10</f>
        <v>коробка</v>
      </c>
      <c r="CH10" s="753"/>
      <c r="CI10" s="753"/>
      <c r="CJ10" s="753"/>
      <c r="CK10" s="211"/>
      <c r="CL10" s="753" t="str">
        <f>P10</f>
        <v>тип</v>
      </c>
      <c r="CM10" s="753"/>
      <c r="CN10" s="753"/>
      <c r="CO10" s="753"/>
      <c r="CP10" s="211"/>
      <c r="CQ10" s="753" t="str">
        <f>Q10</f>
        <v>лиштва</v>
      </c>
      <c r="CR10" s="753"/>
      <c r="CS10" s="753"/>
      <c r="CT10" s="753"/>
      <c r="CV10" s="203" t="s">
        <v>143</v>
      </c>
      <c r="CW10" s="203" t="s">
        <v>177</v>
      </c>
      <c r="CX10" s="203" t="s">
        <v>258</v>
      </c>
      <c r="CY10" s="203" t="s">
        <v>97</v>
      </c>
      <c r="CZ10" s="203" t="s">
        <v>259</v>
      </c>
      <c r="DA10" s="203" t="s">
        <v>267</v>
      </c>
      <c r="DB10" s="203" t="s">
        <v>141</v>
      </c>
      <c r="DC10" s="203" t="s">
        <v>173</v>
      </c>
      <c r="DD10" s="203" t="s">
        <v>242</v>
      </c>
      <c r="DE10" s="161" t="s">
        <v>256</v>
      </c>
      <c r="DG10" s="203" t="s">
        <v>257</v>
      </c>
      <c r="DH10" s="203" t="s">
        <v>97</v>
      </c>
      <c r="DI10" s="203" t="s">
        <v>259</v>
      </c>
      <c r="DJ10" s="203" t="s">
        <v>267</v>
      </c>
      <c r="DK10" s="203" t="s">
        <v>141</v>
      </c>
      <c r="DL10" s="161" t="s">
        <v>256</v>
      </c>
    </row>
    <row r="11" spans="1:116" x14ac:dyDescent="0.25">
      <c r="A11" s="23" t="str">
        <f>CONCATENATE(C11,".",D11)</f>
        <v>.</v>
      </c>
      <c r="B11" s="170">
        <v>1</v>
      </c>
      <c r="C11" s="418"/>
      <c r="D11" s="419"/>
      <c r="E11" s="420"/>
      <c r="F11" s="418"/>
      <c r="G11" s="421"/>
      <c r="H11" s="418"/>
      <c r="I11" s="420"/>
      <c r="J11" s="418"/>
      <c r="K11" s="420"/>
      <c r="L11" s="418"/>
      <c r="M11" s="422"/>
      <c r="N11" s="423"/>
      <c r="O11" s="436"/>
      <c r="P11" s="424"/>
      <c r="Q11" s="437"/>
      <c r="R11" s="186"/>
      <c r="S11" s="162"/>
      <c r="T11" s="179" t="str">
        <f>IF(OR(W11="",W11="0"),"",W11)</f>
        <v/>
      </c>
      <c r="U11" s="190" t="str">
        <f t="shared" ref="U11:U25" si="0">IF(R11="","",IF(NOT(AC11=0),"Ошибка в строке",""))</f>
        <v/>
      </c>
      <c r="W11" s="123" t="str">
        <f>IF(OR(ISNA(X11),NOT(AC11=0)),"0",X11)</f>
        <v>0</v>
      </c>
      <c r="X11" s="120" t="str">
        <f>IF(OR(R11="",R11=0),"",SUM(ORDER!H9:H11))</f>
        <v/>
      </c>
      <c r="Y11" s="60" t="str">
        <f>CONCATENATE(C11,".",E11,".",F11)</f>
        <v>..</v>
      </c>
      <c r="Z11" s="60" t="str">
        <f>CONCATENATE(C11,".",E11,".",F11)</f>
        <v>..</v>
      </c>
      <c r="AB11" s="31">
        <f>AG11+AL11+AQ11+AV11+BA11+BF11+BK11+BP11+BU11+BZ11+CE11+CJ11+CO11+CT11</f>
        <v>0</v>
      </c>
      <c r="AC11" s="68">
        <f>14-AB11</f>
        <v>14</v>
      </c>
      <c r="AD11" s="59" t="str">
        <f>CONCATENATE(C11,".",D11)</f>
        <v>.</v>
      </c>
      <c r="AE11" s="60" t="e">
        <f>VLOOKUP(AD11,Лист1!$AW:$AW,1,0)</f>
        <v>#N/A</v>
      </c>
      <c r="AF11" s="49" t="e">
        <f>IF(AD11=AE11,1,0)</f>
        <v>#N/A</v>
      </c>
      <c r="AG11" s="32" t="str">
        <f>IF(ISNA(AF11),"0",AF11)</f>
        <v>0</v>
      </c>
      <c r="AI11" s="59" t="str">
        <f>CONCATENATE(C11,".",D11,".",E11)</f>
        <v>..</v>
      </c>
      <c r="AJ11" s="60" t="e">
        <f>VLOOKUP(AI11,Лист1!$BA:$BA,1,0)</f>
        <v>#N/A</v>
      </c>
      <c r="AK11" s="49" t="e">
        <f>IF(AI11=AJ11,1,0)</f>
        <v>#N/A</v>
      </c>
      <c r="AL11" s="32" t="str">
        <f>IF(ISNA(AK11),"0",AK11)</f>
        <v>0</v>
      </c>
      <c r="AN11" s="59" t="str">
        <f>CONCATENATE(E11,".",F11,)</f>
        <v>.</v>
      </c>
      <c r="AO11" s="60" t="e">
        <f>VLOOKUP(AN11,Лист1!$BE:$BE,1,0)</f>
        <v>#N/A</v>
      </c>
      <c r="AP11" s="49" t="e">
        <f>IF(AN11=AO11,1,0)</f>
        <v>#N/A</v>
      </c>
      <c r="AQ11" s="32" t="str">
        <f>IF(ISNA(AP11),"0",AP11)</f>
        <v>0</v>
      </c>
      <c r="AS11" s="59" t="str">
        <f>CONCATENATE(F11,".",G11,)</f>
        <v>.</v>
      </c>
      <c r="AT11" s="60" t="e">
        <f>VLOOKUP(AS11,Лист1!$BI:$BI,1,0)</f>
        <v>#N/A</v>
      </c>
      <c r="AU11" s="49" t="e">
        <f>IF(AS11=AT11,1,0)</f>
        <v>#N/A</v>
      </c>
      <c r="AV11" s="32" t="str">
        <f>IF(ISNA(AU11),"0",AU11)</f>
        <v>0</v>
      </c>
      <c r="AX11" s="59" t="str">
        <f>CONCATENATE(C11,".",H11,)</f>
        <v>.</v>
      </c>
      <c r="AY11" s="60" t="e">
        <f>VLOOKUP(AX11,Лист1!$BM:$BM,1,0)</f>
        <v>#N/A</v>
      </c>
      <c r="AZ11" s="49" t="e">
        <f>IF(AX11=AY11,1,0)</f>
        <v>#N/A</v>
      </c>
      <c r="BA11" s="32" t="str">
        <f>IF(ISNA(AZ11),"0",AZ11)</f>
        <v>0</v>
      </c>
      <c r="BC11" s="59" t="str">
        <f>CONCATENATE(H11,".",I11,)</f>
        <v>.</v>
      </c>
      <c r="BD11" s="60" t="e">
        <f>VLOOKUP(BC11,Лист1!$BQ:$BQ,1,0)</f>
        <v>#N/A</v>
      </c>
      <c r="BE11" s="49" t="e">
        <f>IF(BC11=BD11,1,0)</f>
        <v>#N/A</v>
      </c>
      <c r="BF11" s="32" t="str">
        <f>IF(ISNA(BE11),"0",BE11)</f>
        <v>0</v>
      </c>
      <c r="BH11" s="59" t="str">
        <f>CONCATENATE(C11,".",D11,".",J11)</f>
        <v>..</v>
      </c>
      <c r="BI11" s="60" t="e">
        <f>VLOOKUP(BH11,Лист1!$BU:$BU,1,0)</f>
        <v>#N/A</v>
      </c>
      <c r="BJ11" s="49" t="e">
        <f>IF(BH11=BI11,1,0)</f>
        <v>#N/A</v>
      </c>
      <c r="BK11" s="32" t="str">
        <f>IF(ISNA(BJ11),"0",BJ11)</f>
        <v>0</v>
      </c>
      <c r="BM11" s="59" t="str">
        <f>CONCATENATE(C11,".",D11,".",K11)</f>
        <v>..</v>
      </c>
      <c r="BN11" s="60" t="e">
        <f>VLOOKUP(BM11,Лист1!$BY:$BY,1,0)</f>
        <v>#N/A</v>
      </c>
      <c r="BO11" s="49" t="e">
        <f>IF(BM11=BN11,1,0)</f>
        <v>#N/A</v>
      </c>
      <c r="BP11" s="32" t="str">
        <f>IF(ISNA(BO11),"0",BO11)</f>
        <v>0</v>
      </c>
      <c r="BR11" s="59" t="str">
        <f>CONCATENATE(C11,".",E11,".",F11,".",L11)</f>
        <v>...</v>
      </c>
      <c r="BS11" s="60" t="e">
        <f>VLOOKUP(BR11,Лист1!$CC:$CC,1,0)</f>
        <v>#N/A</v>
      </c>
      <c r="BT11" s="49" t="e">
        <f>IF(BR11=BS11,1,0)</f>
        <v>#N/A</v>
      </c>
      <c r="BU11" s="32" t="str">
        <f>IF(ISNA(BT11),"0",BT11)</f>
        <v>0</v>
      </c>
      <c r="BW11" s="59" t="str">
        <f>CONCATENATE(C11,".",E11,".",F11,".",M11)</f>
        <v>...</v>
      </c>
      <c r="BX11" s="60" t="e">
        <f>VLOOKUP(BW11,Лист1!$CG:$CG,1,0)</f>
        <v>#N/A</v>
      </c>
      <c r="BY11" s="49" t="e">
        <f>IF(BW11=BX11,1,0)</f>
        <v>#N/A</v>
      </c>
      <c r="BZ11" s="32" t="str">
        <f>IF(ISNA(BY11),"0",BY11)</f>
        <v>0</v>
      </c>
      <c r="CB11" s="59" t="str">
        <f>CONCATENATE(L11,".",N11)</f>
        <v>.</v>
      </c>
      <c r="CC11" s="60" t="e">
        <f>VLOOKUP(CB11,Лист1!$CK:$CK,1,0)</f>
        <v>#N/A</v>
      </c>
      <c r="CD11" s="49" t="e">
        <f>IF(CB11=CC11,1,0)</f>
        <v>#N/A</v>
      </c>
      <c r="CE11" s="32" t="str">
        <f>IF(ISNA(CD11),"0",CD11)</f>
        <v>0</v>
      </c>
      <c r="CG11" s="59" t="str">
        <f>CONCATENATE(C11,".",E11,".",F11,".",O11)</f>
        <v>...</v>
      </c>
      <c r="CH11" s="60" t="e">
        <f>VLOOKUP(CG11,Лист1!$CO:$CO,1,0)</f>
        <v>#N/A</v>
      </c>
      <c r="CI11" s="49" t="e">
        <f>IF(CG11=CH11,1,0)</f>
        <v>#N/A</v>
      </c>
      <c r="CJ11" s="32" t="str">
        <f>IF(ISNA(CI11),"0",CI11)</f>
        <v>0</v>
      </c>
      <c r="CL11" s="59" t="str">
        <f>CONCATENATE(O11,".",P11)</f>
        <v>.</v>
      </c>
      <c r="CM11" s="60" t="e">
        <f>VLOOKUP(CL11,Лист1!$CS:$CS,1,0)</f>
        <v>#N/A</v>
      </c>
      <c r="CN11" s="49" t="e">
        <f>IF(CL11=CM11,1,0)</f>
        <v>#N/A</v>
      </c>
      <c r="CO11" s="32" t="str">
        <f>IF(ISNA(CN11),"0",CN11)</f>
        <v>0</v>
      </c>
      <c r="CQ11" s="59" t="str">
        <f>CONCATENATE(O11,".",Q11)</f>
        <v>.</v>
      </c>
      <c r="CR11" s="60" t="e">
        <f>VLOOKUP(CQ11,Лист1!$CW:$CW,1,0)</f>
        <v>#N/A</v>
      </c>
      <c r="CS11" s="49" t="e">
        <f>IF(CQ11=CR11,1,0)</f>
        <v>#N/A</v>
      </c>
      <c r="CT11" s="32" t="str">
        <f>IF(ISNA(CS11),"0",CS11)</f>
        <v>0</v>
      </c>
      <c r="CV11" s="60" t="e">
        <f>VLOOKUP(O11,Лист1!$CY:$DA,2,0)</f>
        <v>#N/A</v>
      </c>
      <c r="CW11" s="206">
        <f>P11</f>
        <v>0</v>
      </c>
      <c r="CX11" s="60" t="e">
        <f>VLOOKUP(E11,Лист1!$CY:$DA,2,0)</f>
        <v>#N/A</v>
      </c>
      <c r="CY11" s="60" t="e">
        <f>VLOOKUP(G11,Лист1!$CY$58:$DA$69,2,0)</f>
        <v>#N/A</v>
      </c>
      <c r="CZ11" s="60" t="e">
        <f>VLOOKUP(G11,Лист1!$CY:$DA,2,0)</f>
        <v>#N/A</v>
      </c>
      <c r="DA11" s="60" t="e">
        <f>VLOOKUP(H11,Лист1!$CY:$DA,2,0)</f>
        <v>#N/A</v>
      </c>
      <c r="DB11" s="60">
        <f>I11</f>
        <v>0</v>
      </c>
      <c r="DC11" s="60" t="e">
        <f>VLOOKUP(L11,Лист1!$CY:$DA,2,0)</f>
        <v>#N/A</v>
      </c>
      <c r="DD11" s="60" t="e">
        <f>VLOOKUP(CONCATENATE(L11,".",N11),Лист1!$CY:$DA,2,0)</f>
        <v>#N/A</v>
      </c>
      <c r="DE11" s="214" t="str">
        <f>IF(R11="","",IF(OR(C11="ДП Добор",C11="ДП Гласфорд",C11="ДП Добор-ЛАДА"),"",R11))</f>
        <v/>
      </c>
      <c r="DG11" s="60" t="e">
        <f>VLOOKUP(Q11,Лист1!$CY:$DA,2,0)</f>
        <v>#N/A</v>
      </c>
      <c r="DH11" s="60" t="e">
        <f>VLOOKUP(G11,Лист1!$CY$58:$DA$69,3,0)</f>
        <v>#N/A</v>
      </c>
      <c r="DI11" s="60" t="e">
        <f>VLOOKUP(CONCATENATE(O11,".",CZ11),Лист1!$CY:$DA,2,0)</f>
        <v>#N/A</v>
      </c>
      <c r="DJ11" s="60" t="e">
        <f>VLOOKUP(H11,Лист1!$CY:$DA,2,0)</f>
        <v>#N/A</v>
      </c>
      <c r="DK11" s="60">
        <f>I11</f>
        <v>0</v>
      </c>
      <c r="DL11" s="214" t="str">
        <f>IF(R11="","",VLOOKUP(Q11,Лист1!$CY:$DA,3,0)*R11)</f>
        <v/>
      </c>
    </row>
    <row r="12" spans="1:116" x14ac:dyDescent="0.25">
      <c r="A12" s="23" t="str">
        <f t="shared" ref="A12:A25" si="1">CONCATENATE(C12,".",D12)</f>
        <v>.</v>
      </c>
      <c r="B12" s="70">
        <v>2</v>
      </c>
      <c r="C12" s="418"/>
      <c r="D12" s="419"/>
      <c r="E12" s="420"/>
      <c r="F12" s="418"/>
      <c r="G12" s="421"/>
      <c r="H12" s="418"/>
      <c r="I12" s="420"/>
      <c r="J12" s="418"/>
      <c r="K12" s="420"/>
      <c r="L12" s="418"/>
      <c r="M12" s="422"/>
      <c r="N12" s="423"/>
      <c r="O12" s="424"/>
      <c r="P12" s="424"/>
      <c r="Q12" s="437"/>
      <c r="R12" s="186"/>
      <c r="S12" s="104"/>
      <c r="T12" s="180" t="str">
        <f t="shared" ref="T12:T25" si="2">IF(OR(W12="",W12="0"),"",W12)</f>
        <v/>
      </c>
      <c r="U12" s="189" t="str">
        <f t="shared" si="0"/>
        <v/>
      </c>
      <c r="W12" s="123" t="str">
        <f t="shared" ref="W12:W25" si="3">IF(OR(ISNA(X12),NOT(AC12=0)),"0",X12)</f>
        <v>0</v>
      </c>
      <c r="X12" s="120" t="str">
        <f>IF(OR(R12="",R12=0),"",SUM(ORDER!H12:H14))</f>
        <v/>
      </c>
      <c r="Y12" s="60" t="str">
        <f t="shared" ref="Y12:Y25" si="4">CONCATENATE(C12,".",E12,".",F12)</f>
        <v>..</v>
      </c>
      <c r="Z12" s="60" t="str">
        <f>CONCATENATE(C12,".",E12,".",F12)</f>
        <v>..</v>
      </c>
      <c r="AB12" s="31">
        <f t="shared" ref="AB12:AB25" si="5">AG12+AL12+AQ12+AV12+BA12+BF12+BK12+BP12+BU12+BZ12+CE12+CJ12+CO12+CT12</f>
        <v>0</v>
      </c>
      <c r="AC12" s="68">
        <f t="shared" ref="AC12:AC25" si="6">14-AB12</f>
        <v>14</v>
      </c>
      <c r="AD12" s="59" t="str">
        <f t="shared" ref="AD12:AD25" si="7">CONCATENATE(C12,".",D12)</f>
        <v>.</v>
      </c>
      <c r="AE12" s="60" t="e">
        <f>VLOOKUP(AD12,Лист1!$AW:$AW,1,0)</f>
        <v>#N/A</v>
      </c>
      <c r="AF12" s="49" t="e">
        <f t="shared" ref="AF12:AF25" si="8">IF(AD12=AE12,1,0)</f>
        <v>#N/A</v>
      </c>
      <c r="AG12" s="32" t="str">
        <f t="shared" ref="AG12:AG25" si="9">IF(ISNA(AF12),"0",AF12)</f>
        <v>0</v>
      </c>
      <c r="AI12" s="59" t="str">
        <f t="shared" ref="AI12:AI25" si="10">CONCATENATE(C12,".",D12,".",E12)</f>
        <v>..</v>
      </c>
      <c r="AJ12" s="60" t="e">
        <f>VLOOKUP(AI12,Лист1!$BA:$BA,1,0)</f>
        <v>#N/A</v>
      </c>
      <c r="AK12" s="49" t="e">
        <f t="shared" ref="AK12:AK25" si="11">IF(AI12=AJ12,1,0)</f>
        <v>#N/A</v>
      </c>
      <c r="AL12" s="32" t="str">
        <f t="shared" ref="AL12:AL25" si="12">IF(ISNA(AK12),"0",AK12)</f>
        <v>0</v>
      </c>
      <c r="AN12" s="59" t="str">
        <f t="shared" ref="AN12:AN25" si="13">CONCATENATE(E12,".",F12,)</f>
        <v>.</v>
      </c>
      <c r="AO12" s="60" t="e">
        <f>VLOOKUP(AN12,Лист1!$BE:$BE,1,0)</f>
        <v>#N/A</v>
      </c>
      <c r="AP12" s="49" t="e">
        <f t="shared" ref="AP12:AP25" si="14">IF(AN12=AO12,1,0)</f>
        <v>#N/A</v>
      </c>
      <c r="AQ12" s="32" t="str">
        <f t="shared" ref="AQ12:AQ25" si="15">IF(ISNA(AP12),"0",AP12)</f>
        <v>0</v>
      </c>
      <c r="AS12" s="59" t="str">
        <f t="shared" ref="AS12:AS25" si="16">CONCATENATE(F12,".",G12,)</f>
        <v>.</v>
      </c>
      <c r="AT12" s="60" t="e">
        <f>VLOOKUP(AS12,Лист1!$BI:$BI,1,0)</f>
        <v>#N/A</v>
      </c>
      <c r="AU12" s="49" t="e">
        <f t="shared" ref="AU12:AU25" si="17">IF(AS12=AT12,1,0)</f>
        <v>#N/A</v>
      </c>
      <c r="AV12" s="32" t="str">
        <f t="shared" ref="AV12:AV25" si="18">IF(ISNA(AU12),"0",AU12)</f>
        <v>0</v>
      </c>
      <c r="AX12" s="59" t="str">
        <f t="shared" ref="AX12:AX25" si="19">CONCATENATE(C12,".",H12,)</f>
        <v>.</v>
      </c>
      <c r="AY12" s="60" t="e">
        <f>VLOOKUP(AX12,Лист1!$BM:$BM,1,0)</f>
        <v>#N/A</v>
      </c>
      <c r="AZ12" s="49" t="e">
        <f t="shared" ref="AZ12:AZ25" si="20">IF(AX12=AY12,1,0)</f>
        <v>#N/A</v>
      </c>
      <c r="BA12" s="32" t="str">
        <f t="shared" ref="BA12:BA25" si="21">IF(ISNA(AZ12),"0",AZ12)</f>
        <v>0</v>
      </c>
      <c r="BC12" s="59" t="str">
        <f t="shared" ref="BC12:BC25" si="22">CONCATENATE(H12,".",I12,)</f>
        <v>.</v>
      </c>
      <c r="BD12" s="60" t="e">
        <f>VLOOKUP(BC12,Лист1!$BQ:$BQ,1,0)</f>
        <v>#N/A</v>
      </c>
      <c r="BE12" s="49" t="e">
        <f t="shared" ref="BE12:BE25" si="23">IF(BC12=BD12,1,0)</f>
        <v>#N/A</v>
      </c>
      <c r="BF12" s="32" t="str">
        <f t="shared" ref="BF12:BF25" si="24">IF(ISNA(BE12),"0",BE12)</f>
        <v>0</v>
      </c>
      <c r="BH12" s="59" t="str">
        <f t="shared" ref="BH12:BH25" si="25">CONCATENATE(C12,".",D12,".",J12)</f>
        <v>..</v>
      </c>
      <c r="BI12" s="60" t="e">
        <f>VLOOKUP(BH12,Лист1!$BU:$BU,1,0)</f>
        <v>#N/A</v>
      </c>
      <c r="BJ12" s="49" t="e">
        <f t="shared" ref="BJ12:BJ25" si="26">IF(BH12=BI12,1,0)</f>
        <v>#N/A</v>
      </c>
      <c r="BK12" s="32" t="str">
        <f t="shared" ref="BK12:BK25" si="27">IF(ISNA(BJ12),"0",BJ12)</f>
        <v>0</v>
      </c>
      <c r="BM12" s="59" t="str">
        <f t="shared" ref="BM12:BM25" si="28">CONCATENATE(C12,".",D12,".",K12)</f>
        <v>..</v>
      </c>
      <c r="BN12" s="60" t="e">
        <f>VLOOKUP(BM12,Лист1!$BY:$BY,1,0)</f>
        <v>#N/A</v>
      </c>
      <c r="BO12" s="49" t="e">
        <f t="shared" ref="BO12:BO25" si="29">IF(BM12=BN12,1,0)</f>
        <v>#N/A</v>
      </c>
      <c r="BP12" s="32" t="str">
        <f t="shared" ref="BP12:BP25" si="30">IF(ISNA(BO12),"0",BO12)</f>
        <v>0</v>
      </c>
      <c r="BR12" s="59" t="str">
        <f t="shared" ref="BR12:BR25" si="31">CONCATENATE(C12,".",E12,".",F12,".",L12)</f>
        <v>...</v>
      </c>
      <c r="BS12" s="60" t="e">
        <f>VLOOKUP(BR12,Лист1!$CC:$CC,1,0)</f>
        <v>#N/A</v>
      </c>
      <c r="BT12" s="49" t="e">
        <f t="shared" ref="BT12:BT25" si="32">IF(BR12=BS12,1,0)</f>
        <v>#N/A</v>
      </c>
      <c r="BU12" s="32" t="str">
        <f t="shared" ref="BU12:BU25" si="33">IF(ISNA(BT12),"0",BT12)</f>
        <v>0</v>
      </c>
      <c r="BW12" s="59" t="str">
        <f>CONCATENATE(C12,".",E12,".",F12,".",M12)</f>
        <v>...</v>
      </c>
      <c r="BX12" s="60" t="e">
        <f>VLOOKUP(BW12,Лист1!$CG:$CG,1,0)</f>
        <v>#N/A</v>
      </c>
      <c r="BY12" s="49" t="e">
        <f t="shared" ref="BY12:BY25" si="34">IF(BW12=BX12,1,0)</f>
        <v>#N/A</v>
      </c>
      <c r="BZ12" s="32" t="str">
        <f t="shared" ref="BZ12:BZ25" si="35">IF(ISNA(BY12),"0",BY12)</f>
        <v>0</v>
      </c>
      <c r="CB12" s="59" t="str">
        <f t="shared" ref="CB12:CB25" si="36">CONCATENATE(L12,".",N12)</f>
        <v>.</v>
      </c>
      <c r="CC12" s="60" t="e">
        <f>VLOOKUP(CB12,Лист1!$CK:$CK,1,0)</f>
        <v>#N/A</v>
      </c>
      <c r="CD12" s="49" t="e">
        <f t="shared" ref="CD12:CD25" si="37">IF(CB12=CC12,1,0)</f>
        <v>#N/A</v>
      </c>
      <c r="CE12" s="32" t="str">
        <f t="shared" ref="CE12:CE25" si="38">IF(ISNA(CD12),"0",CD12)</f>
        <v>0</v>
      </c>
      <c r="CG12" s="59" t="str">
        <f t="shared" ref="CG12:CG25" si="39">CONCATENATE(C12,".",E12,".",F12,".",O12)</f>
        <v>...</v>
      </c>
      <c r="CH12" s="60" t="e">
        <f>VLOOKUP(CG12,Лист1!$CO:$CO,1,0)</f>
        <v>#N/A</v>
      </c>
      <c r="CI12" s="49" t="e">
        <f t="shared" ref="CI12:CI25" si="40">IF(CG12=CH12,1,0)</f>
        <v>#N/A</v>
      </c>
      <c r="CJ12" s="32" t="str">
        <f t="shared" ref="CJ12:CJ25" si="41">IF(ISNA(CI12),"0",CI12)</f>
        <v>0</v>
      </c>
      <c r="CL12" s="59" t="str">
        <f t="shared" ref="CL12:CL25" si="42">CONCATENATE(O12,".",P12)</f>
        <v>.</v>
      </c>
      <c r="CM12" s="60" t="e">
        <f>VLOOKUP(CL12,Лист1!$CS:$CS,1,0)</f>
        <v>#N/A</v>
      </c>
      <c r="CN12" s="49" t="e">
        <f t="shared" ref="CN12:CN25" si="43">IF(CL12=CM12,1,0)</f>
        <v>#N/A</v>
      </c>
      <c r="CO12" s="32" t="str">
        <f t="shared" ref="CO12:CO25" si="44">IF(ISNA(CN12),"0",CN12)</f>
        <v>0</v>
      </c>
      <c r="CQ12" s="59" t="str">
        <f t="shared" ref="CQ12:CQ25" si="45">CONCATENATE(O12,".",Q12)</f>
        <v>.</v>
      </c>
      <c r="CR12" s="60" t="e">
        <f>VLOOKUP(CQ12,Лист1!$CW:$CW,1,0)</f>
        <v>#N/A</v>
      </c>
      <c r="CS12" s="49" t="e">
        <f t="shared" ref="CS12:CS25" si="46">IF(CQ12=CR12,1,0)</f>
        <v>#N/A</v>
      </c>
      <c r="CT12" s="32" t="str">
        <f t="shared" ref="CT12:CT25" si="47">IF(ISNA(CS12),"0",CS12)</f>
        <v>0</v>
      </c>
      <c r="CV12" s="60" t="e">
        <f>VLOOKUP(O12,Лист1!$CY:$DA,2,0)</f>
        <v>#N/A</v>
      </c>
      <c r="CW12" s="206">
        <f t="shared" ref="CW12:CW25" si="48">P12</f>
        <v>0</v>
      </c>
      <c r="CX12" s="60" t="e">
        <f>VLOOKUP(E12,Лист1!$CY:$DA,2,0)</f>
        <v>#N/A</v>
      </c>
      <c r="CY12" s="60" t="e">
        <f>VLOOKUP(G12,Лист1!$CY$58:$DA$69,2,0)</f>
        <v>#N/A</v>
      </c>
      <c r="CZ12" s="60" t="e">
        <f>VLOOKUP(G12,Лист1!$CY:$DA,2,0)</f>
        <v>#N/A</v>
      </c>
      <c r="DA12" s="60" t="e">
        <f>VLOOKUP(H12,Лист1!$CY:$DA,2,0)</f>
        <v>#N/A</v>
      </c>
      <c r="DB12" s="60">
        <f t="shared" ref="DB12:DB25" si="49">I12</f>
        <v>0</v>
      </c>
      <c r="DC12" s="60" t="e">
        <f>VLOOKUP(L12,Лист1!$CY:$DA,2,0)</f>
        <v>#N/A</v>
      </c>
      <c r="DD12" s="60" t="e">
        <f>VLOOKUP(CONCATENATE(L12,".",N12),Лист1!$CY:$DA,2,0)</f>
        <v>#N/A</v>
      </c>
      <c r="DE12" s="214" t="str">
        <f t="shared" ref="DE12:DE25" si="50">IF(R12="","",IF(OR(C12="ДП Добор",C12="ДП Гласфорд",C12="ДП Добор-ЛАДА"),"",R12))</f>
        <v/>
      </c>
      <c r="DG12" s="60" t="e">
        <f>VLOOKUP(Q12,Лист1!$CY:$DA,2,0)</f>
        <v>#N/A</v>
      </c>
      <c r="DH12" s="60" t="e">
        <f>VLOOKUP(G12,Лист1!$CY$58:$DA$69,3,0)</f>
        <v>#N/A</v>
      </c>
      <c r="DI12" s="60" t="e">
        <f>VLOOKUP(CONCATENATE(O12,".",CZ12),Лист1!$CY:$DA,2,0)</f>
        <v>#N/A</v>
      </c>
      <c r="DJ12" s="60" t="e">
        <f>VLOOKUP(H12,Лист1!$CY:$DA,2,0)</f>
        <v>#N/A</v>
      </c>
      <c r="DK12" s="60">
        <f t="shared" ref="DK12:DK25" si="51">I12</f>
        <v>0</v>
      </c>
      <c r="DL12" s="214" t="str">
        <f>IF(R12="","",VLOOKUP(Q12,Лист1!$CY:$DA,3,0)*R12)</f>
        <v/>
      </c>
    </row>
    <row r="13" spans="1:116" x14ac:dyDescent="0.25">
      <c r="A13" s="23" t="str">
        <f t="shared" si="1"/>
        <v>.</v>
      </c>
      <c r="B13" s="70">
        <v>3</v>
      </c>
      <c r="C13" s="418"/>
      <c r="D13" s="419"/>
      <c r="E13" s="420"/>
      <c r="F13" s="418"/>
      <c r="G13" s="421"/>
      <c r="H13" s="418"/>
      <c r="I13" s="420"/>
      <c r="J13" s="418"/>
      <c r="K13" s="420"/>
      <c r="L13" s="418"/>
      <c r="M13" s="422"/>
      <c r="N13" s="423"/>
      <c r="O13" s="424"/>
      <c r="P13" s="424"/>
      <c r="Q13" s="437"/>
      <c r="R13" s="186"/>
      <c r="S13" s="104"/>
      <c r="T13" s="180" t="str">
        <f t="shared" si="2"/>
        <v/>
      </c>
      <c r="U13" s="189" t="str">
        <f t="shared" si="0"/>
        <v/>
      </c>
      <c r="W13" s="123" t="str">
        <f t="shared" si="3"/>
        <v>0</v>
      </c>
      <c r="X13" s="120" t="str">
        <f>IF(OR(R13="",R13=0),"",SUM(ORDER!H15:H17))</f>
        <v/>
      </c>
      <c r="Y13" s="60" t="str">
        <f t="shared" si="4"/>
        <v>..</v>
      </c>
      <c r="Z13" s="60" t="str">
        <f>CONCATENATE(C13,".",E13,".",F13)</f>
        <v>..</v>
      </c>
      <c r="AB13" s="31">
        <f t="shared" si="5"/>
        <v>0</v>
      </c>
      <c r="AC13" s="68">
        <f t="shared" si="6"/>
        <v>14</v>
      </c>
      <c r="AD13" s="59" t="str">
        <f>CONCATENATE(C13,".",D13)</f>
        <v>.</v>
      </c>
      <c r="AE13" s="60" t="e">
        <f>VLOOKUP(AD13,Лист1!$AW:$AW,1,0)</f>
        <v>#N/A</v>
      </c>
      <c r="AF13" s="49" t="e">
        <f t="shared" si="8"/>
        <v>#N/A</v>
      </c>
      <c r="AG13" s="32" t="str">
        <f t="shared" si="9"/>
        <v>0</v>
      </c>
      <c r="AI13" s="59" t="str">
        <f t="shared" si="10"/>
        <v>..</v>
      </c>
      <c r="AJ13" s="60" t="e">
        <f>VLOOKUP(AI13,Лист1!$BA:$BA,1,0)</f>
        <v>#N/A</v>
      </c>
      <c r="AK13" s="49" t="e">
        <f t="shared" si="11"/>
        <v>#N/A</v>
      </c>
      <c r="AL13" s="32" t="str">
        <f t="shared" si="12"/>
        <v>0</v>
      </c>
      <c r="AN13" s="59" t="str">
        <f t="shared" si="13"/>
        <v>.</v>
      </c>
      <c r="AO13" s="60" t="e">
        <f>VLOOKUP(AN13,Лист1!$BE:$BE,1,0)</f>
        <v>#N/A</v>
      </c>
      <c r="AP13" s="49" t="e">
        <f t="shared" si="14"/>
        <v>#N/A</v>
      </c>
      <c r="AQ13" s="32" t="str">
        <f t="shared" si="15"/>
        <v>0</v>
      </c>
      <c r="AS13" s="59" t="str">
        <f t="shared" si="16"/>
        <v>.</v>
      </c>
      <c r="AT13" s="60" t="e">
        <f>VLOOKUP(AS13,Лист1!$BI:$BI,1,0)</f>
        <v>#N/A</v>
      </c>
      <c r="AU13" s="49" t="e">
        <f t="shared" si="17"/>
        <v>#N/A</v>
      </c>
      <c r="AV13" s="32" t="str">
        <f t="shared" si="18"/>
        <v>0</v>
      </c>
      <c r="AX13" s="59" t="str">
        <f t="shared" si="19"/>
        <v>.</v>
      </c>
      <c r="AY13" s="60" t="e">
        <f>VLOOKUP(AX13,Лист1!$BM:$BM,1,0)</f>
        <v>#N/A</v>
      </c>
      <c r="AZ13" s="49" t="e">
        <f t="shared" si="20"/>
        <v>#N/A</v>
      </c>
      <c r="BA13" s="32" t="str">
        <f t="shared" si="21"/>
        <v>0</v>
      </c>
      <c r="BC13" s="59" t="str">
        <f t="shared" si="22"/>
        <v>.</v>
      </c>
      <c r="BD13" s="60" t="e">
        <f>VLOOKUP(BC13,Лист1!$BQ:$BQ,1,0)</f>
        <v>#N/A</v>
      </c>
      <c r="BE13" s="49" t="e">
        <f t="shared" si="23"/>
        <v>#N/A</v>
      </c>
      <c r="BF13" s="32" t="str">
        <f t="shared" si="24"/>
        <v>0</v>
      </c>
      <c r="BH13" s="59" t="str">
        <f t="shared" si="25"/>
        <v>..</v>
      </c>
      <c r="BI13" s="60" t="e">
        <f>VLOOKUP(BH13,Лист1!$BU:$BU,1,0)</f>
        <v>#N/A</v>
      </c>
      <c r="BJ13" s="49" t="e">
        <f t="shared" si="26"/>
        <v>#N/A</v>
      </c>
      <c r="BK13" s="32" t="str">
        <f t="shared" si="27"/>
        <v>0</v>
      </c>
      <c r="BM13" s="59" t="str">
        <f t="shared" si="28"/>
        <v>..</v>
      </c>
      <c r="BN13" s="60" t="e">
        <f>VLOOKUP(BM13,Лист1!$BY:$BY,1,0)</f>
        <v>#N/A</v>
      </c>
      <c r="BO13" s="49" t="e">
        <f t="shared" si="29"/>
        <v>#N/A</v>
      </c>
      <c r="BP13" s="32" t="str">
        <f t="shared" si="30"/>
        <v>0</v>
      </c>
      <c r="BR13" s="59" t="str">
        <f t="shared" si="31"/>
        <v>...</v>
      </c>
      <c r="BS13" s="60" t="e">
        <f>VLOOKUP(BR13,Лист1!$CC:$CC,1,0)</f>
        <v>#N/A</v>
      </c>
      <c r="BT13" s="49" t="e">
        <f t="shared" si="32"/>
        <v>#N/A</v>
      </c>
      <c r="BU13" s="32" t="str">
        <f t="shared" si="33"/>
        <v>0</v>
      </c>
      <c r="BW13" s="59" t="str">
        <f>CONCATENATE(C13,".",E13,".",F13,".",M13)</f>
        <v>...</v>
      </c>
      <c r="BX13" s="469" t="e">
        <f>VLOOKUP(BW13,Лист1!$CG:$CG,1,0)</f>
        <v>#N/A</v>
      </c>
      <c r="BY13" s="49" t="e">
        <f t="shared" si="34"/>
        <v>#N/A</v>
      </c>
      <c r="BZ13" s="32" t="str">
        <f t="shared" si="35"/>
        <v>0</v>
      </c>
      <c r="CB13" s="59" t="str">
        <f t="shared" si="36"/>
        <v>.</v>
      </c>
      <c r="CC13" s="60" t="e">
        <f>VLOOKUP(CB13,Лист1!$CK:$CK,1,0)</f>
        <v>#N/A</v>
      </c>
      <c r="CD13" s="49" t="e">
        <f t="shared" si="37"/>
        <v>#N/A</v>
      </c>
      <c r="CE13" s="32" t="str">
        <f t="shared" si="38"/>
        <v>0</v>
      </c>
      <c r="CG13" s="59" t="str">
        <f t="shared" si="39"/>
        <v>...</v>
      </c>
      <c r="CH13" s="60" t="e">
        <f>VLOOKUP(CG13,Лист1!$CO:$CO,1,0)</f>
        <v>#N/A</v>
      </c>
      <c r="CI13" s="49" t="e">
        <f t="shared" si="40"/>
        <v>#N/A</v>
      </c>
      <c r="CJ13" s="32" t="str">
        <f t="shared" si="41"/>
        <v>0</v>
      </c>
      <c r="CL13" s="59" t="str">
        <f t="shared" si="42"/>
        <v>.</v>
      </c>
      <c r="CM13" s="60" t="e">
        <f>VLOOKUP(CL13,Лист1!$CS:$CS,1,0)</f>
        <v>#N/A</v>
      </c>
      <c r="CN13" s="49" t="e">
        <f t="shared" si="43"/>
        <v>#N/A</v>
      </c>
      <c r="CO13" s="32" t="str">
        <f t="shared" si="44"/>
        <v>0</v>
      </c>
      <c r="CQ13" s="59" t="str">
        <f t="shared" si="45"/>
        <v>.</v>
      </c>
      <c r="CR13" s="60" t="e">
        <f>VLOOKUP(CQ13,Лист1!$CW:$CW,1,0)</f>
        <v>#N/A</v>
      </c>
      <c r="CS13" s="49" t="e">
        <f t="shared" si="46"/>
        <v>#N/A</v>
      </c>
      <c r="CT13" s="32" t="str">
        <f t="shared" si="47"/>
        <v>0</v>
      </c>
      <c r="CV13" s="60" t="e">
        <f>VLOOKUP(O13,Лист1!$CY:$DA,2,0)</f>
        <v>#N/A</v>
      </c>
      <c r="CW13" s="206">
        <f>P13</f>
        <v>0</v>
      </c>
      <c r="CX13" s="60" t="e">
        <f>VLOOKUP(E13,Лист1!$CY:$DA,2,0)</f>
        <v>#N/A</v>
      </c>
      <c r="CY13" s="60" t="e">
        <f>VLOOKUP(G13,Лист1!$CY$58:$DA$69,2,0)</f>
        <v>#N/A</v>
      </c>
      <c r="CZ13" s="60" t="e">
        <f>VLOOKUP(G13,Лист1!$CY:$DA,2,0)</f>
        <v>#N/A</v>
      </c>
      <c r="DA13" s="60" t="e">
        <f>VLOOKUP(H13,Лист1!$CY:$DA,2,0)</f>
        <v>#N/A</v>
      </c>
      <c r="DB13" s="60">
        <f t="shared" si="49"/>
        <v>0</v>
      </c>
      <c r="DC13" s="60" t="e">
        <f>VLOOKUP(L13,Лист1!$CY:$DA,2,0)</f>
        <v>#N/A</v>
      </c>
      <c r="DD13" s="60" t="e">
        <f>VLOOKUP(CONCATENATE(L13,".",N13),Лист1!$CY:$DA,2,0)</f>
        <v>#N/A</v>
      </c>
      <c r="DE13" s="214" t="str">
        <f t="shared" si="50"/>
        <v/>
      </c>
      <c r="DG13" s="60" t="e">
        <f>VLOOKUP(Q13,Лист1!$CY:$DA,2,0)</f>
        <v>#N/A</v>
      </c>
      <c r="DH13" s="60" t="e">
        <f>VLOOKUP(G13,Лист1!$CY$58:$DA$69,3,0)</f>
        <v>#N/A</v>
      </c>
      <c r="DI13" s="60" t="e">
        <f>VLOOKUP(CONCATENATE(O13,".",CZ13),Лист1!$CY:$DA,2,0)</f>
        <v>#N/A</v>
      </c>
      <c r="DJ13" s="60" t="e">
        <f>VLOOKUP(H13,Лист1!$CY:$DA,2,0)</f>
        <v>#N/A</v>
      </c>
      <c r="DK13" s="60">
        <f t="shared" si="51"/>
        <v>0</v>
      </c>
      <c r="DL13" s="214" t="str">
        <f>IF(R13="","",VLOOKUP(Q13,Лист1!$CY:$DA,3,0)*R13)</f>
        <v/>
      </c>
    </row>
    <row r="14" spans="1:116" x14ac:dyDescent="0.25">
      <c r="A14" s="23" t="str">
        <f t="shared" si="1"/>
        <v>.</v>
      </c>
      <c r="B14" s="71">
        <v>4</v>
      </c>
      <c r="C14" s="418"/>
      <c r="D14" s="419"/>
      <c r="E14" s="420"/>
      <c r="F14" s="418"/>
      <c r="G14" s="421"/>
      <c r="H14" s="418"/>
      <c r="I14" s="420"/>
      <c r="J14" s="418"/>
      <c r="K14" s="420"/>
      <c r="L14" s="418"/>
      <c r="M14" s="422"/>
      <c r="N14" s="423"/>
      <c r="O14" s="424"/>
      <c r="P14" s="424"/>
      <c r="Q14" s="424"/>
      <c r="R14" s="186"/>
      <c r="S14" s="105"/>
      <c r="T14" s="180" t="str">
        <f t="shared" si="2"/>
        <v/>
      </c>
      <c r="U14" s="189" t="str">
        <f t="shared" si="0"/>
        <v/>
      </c>
      <c r="W14" s="123" t="str">
        <f t="shared" si="3"/>
        <v>0</v>
      </c>
      <c r="X14" s="120" t="str">
        <f>IF(OR(R14="",R14=0),"",SUM(ORDER!H18:H20))</f>
        <v/>
      </c>
      <c r="Y14" s="60" t="str">
        <f t="shared" si="4"/>
        <v>..</v>
      </c>
      <c r="Z14" s="60" t="str">
        <f>CONCATENATE(C14,".",E14,".",F14)</f>
        <v>..</v>
      </c>
      <c r="AB14" s="31">
        <f t="shared" si="5"/>
        <v>0</v>
      </c>
      <c r="AC14" s="68">
        <f t="shared" si="6"/>
        <v>14</v>
      </c>
      <c r="AD14" s="59" t="str">
        <f t="shared" si="7"/>
        <v>.</v>
      </c>
      <c r="AE14" s="60" t="e">
        <f>VLOOKUP(AD14,Лист1!$AW:$AW,1,0)</f>
        <v>#N/A</v>
      </c>
      <c r="AF14" s="49" t="e">
        <f t="shared" si="8"/>
        <v>#N/A</v>
      </c>
      <c r="AG14" s="32" t="str">
        <f t="shared" si="9"/>
        <v>0</v>
      </c>
      <c r="AI14" s="59" t="str">
        <f t="shared" si="10"/>
        <v>..</v>
      </c>
      <c r="AJ14" s="60" t="e">
        <f>VLOOKUP(AI14,Лист1!$BA:$BA,1,0)</f>
        <v>#N/A</v>
      </c>
      <c r="AK14" s="49" t="e">
        <f t="shared" si="11"/>
        <v>#N/A</v>
      </c>
      <c r="AL14" s="32" t="str">
        <f t="shared" si="12"/>
        <v>0</v>
      </c>
      <c r="AN14" s="59" t="str">
        <f t="shared" si="13"/>
        <v>.</v>
      </c>
      <c r="AO14" s="60" t="e">
        <f>VLOOKUP(AN14,Лист1!$BE:$BE,1,0)</f>
        <v>#N/A</v>
      </c>
      <c r="AP14" s="49" t="e">
        <f t="shared" si="14"/>
        <v>#N/A</v>
      </c>
      <c r="AQ14" s="32" t="str">
        <f t="shared" si="15"/>
        <v>0</v>
      </c>
      <c r="AS14" s="59" t="str">
        <f t="shared" si="16"/>
        <v>.</v>
      </c>
      <c r="AT14" s="60" t="e">
        <f>VLOOKUP(AS14,Лист1!$BI:$BI,1,0)</f>
        <v>#N/A</v>
      </c>
      <c r="AU14" s="49" t="e">
        <f t="shared" si="17"/>
        <v>#N/A</v>
      </c>
      <c r="AV14" s="32" t="str">
        <f t="shared" si="18"/>
        <v>0</v>
      </c>
      <c r="AX14" s="59" t="str">
        <f t="shared" si="19"/>
        <v>.</v>
      </c>
      <c r="AY14" s="60" t="e">
        <f>VLOOKUP(AX14,Лист1!$BM:$BM,1,0)</f>
        <v>#N/A</v>
      </c>
      <c r="AZ14" s="49" t="e">
        <f t="shared" si="20"/>
        <v>#N/A</v>
      </c>
      <c r="BA14" s="32" t="str">
        <f t="shared" si="21"/>
        <v>0</v>
      </c>
      <c r="BC14" s="59" t="str">
        <f t="shared" si="22"/>
        <v>.</v>
      </c>
      <c r="BD14" s="60" t="e">
        <f>VLOOKUP(BC14,Лист1!$BQ:$BQ,1,0)</f>
        <v>#N/A</v>
      </c>
      <c r="BE14" s="49" t="e">
        <f t="shared" si="23"/>
        <v>#N/A</v>
      </c>
      <c r="BF14" s="32" t="str">
        <f t="shared" si="24"/>
        <v>0</v>
      </c>
      <c r="BH14" s="59" t="str">
        <f t="shared" si="25"/>
        <v>..</v>
      </c>
      <c r="BI14" s="60" t="e">
        <f>VLOOKUP(BH14,Лист1!$BU:$BU,1,0)</f>
        <v>#N/A</v>
      </c>
      <c r="BJ14" s="49" t="e">
        <f t="shared" si="26"/>
        <v>#N/A</v>
      </c>
      <c r="BK14" s="32" t="str">
        <f t="shared" si="27"/>
        <v>0</v>
      </c>
      <c r="BM14" s="59" t="str">
        <f t="shared" si="28"/>
        <v>..</v>
      </c>
      <c r="BN14" s="60" t="e">
        <f>VLOOKUP(BM14,Лист1!$BY:$BY,1,0)</f>
        <v>#N/A</v>
      </c>
      <c r="BO14" s="49" t="e">
        <f t="shared" si="29"/>
        <v>#N/A</v>
      </c>
      <c r="BP14" s="32" t="str">
        <f t="shared" si="30"/>
        <v>0</v>
      </c>
      <c r="BR14" s="59" t="str">
        <f t="shared" si="31"/>
        <v>...</v>
      </c>
      <c r="BS14" s="60" t="e">
        <f>VLOOKUP(BR14,Лист1!$CC:$CC,1,0)</f>
        <v>#N/A</v>
      </c>
      <c r="BT14" s="49" t="e">
        <f t="shared" si="32"/>
        <v>#N/A</v>
      </c>
      <c r="BU14" s="32" t="str">
        <f t="shared" si="33"/>
        <v>0</v>
      </c>
      <c r="BW14" s="59" t="str">
        <f t="shared" ref="BW14:BW25" si="52">CONCATENATE(C14,".",E14,".",F14,".",M14)</f>
        <v>...</v>
      </c>
      <c r="BX14" s="60" t="e">
        <f>VLOOKUP(BW14,Лист1!$CG:$CG,1,0)</f>
        <v>#N/A</v>
      </c>
      <c r="BY14" s="49" t="e">
        <f t="shared" si="34"/>
        <v>#N/A</v>
      </c>
      <c r="BZ14" s="32" t="str">
        <f t="shared" si="35"/>
        <v>0</v>
      </c>
      <c r="CB14" s="59" t="str">
        <f t="shared" si="36"/>
        <v>.</v>
      </c>
      <c r="CC14" s="60" t="e">
        <f>VLOOKUP(CB14,Лист1!$CK:$CK,1,0)</f>
        <v>#N/A</v>
      </c>
      <c r="CD14" s="49" t="e">
        <f t="shared" si="37"/>
        <v>#N/A</v>
      </c>
      <c r="CE14" s="32" t="str">
        <f t="shared" si="38"/>
        <v>0</v>
      </c>
      <c r="CG14" s="59" t="str">
        <f t="shared" si="39"/>
        <v>...</v>
      </c>
      <c r="CH14" s="60" t="e">
        <f>VLOOKUP(CG14,Лист1!$CO:$CO,1,0)</f>
        <v>#N/A</v>
      </c>
      <c r="CI14" s="49" t="e">
        <f t="shared" si="40"/>
        <v>#N/A</v>
      </c>
      <c r="CJ14" s="32" t="str">
        <f t="shared" si="41"/>
        <v>0</v>
      </c>
      <c r="CL14" s="59" t="str">
        <f t="shared" si="42"/>
        <v>.</v>
      </c>
      <c r="CM14" s="60" t="e">
        <f>VLOOKUP(CL14,Лист1!$CS:$CS,1,0)</f>
        <v>#N/A</v>
      </c>
      <c r="CN14" s="49" t="e">
        <f t="shared" si="43"/>
        <v>#N/A</v>
      </c>
      <c r="CO14" s="32" t="str">
        <f t="shared" si="44"/>
        <v>0</v>
      </c>
      <c r="CQ14" s="59" t="str">
        <f t="shared" si="45"/>
        <v>.</v>
      </c>
      <c r="CR14" s="60" t="e">
        <f>VLOOKUP(CQ14,Лист1!$CW:$CW,1,0)</f>
        <v>#N/A</v>
      </c>
      <c r="CS14" s="49" t="e">
        <f t="shared" si="46"/>
        <v>#N/A</v>
      </c>
      <c r="CT14" s="32" t="str">
        <f t="shared" si="47"/>
        <v>0</v>
      </c>
      <c r="CV14" s="60" t="e">
        <f>VLOOKUP(O14,Лист1!$CY:$DA,2,0)</f>
        <v>#N/A</v>
      </c>
      <c r="CW14" s="206">
        <f t="shared" si="48"/>
        <v>0</v>
      </c>
      <c r="CX14" s="60" t="e">
        <f>VLOOKUP(E14,Лист1!$CY:$DA,2,0)</f>
        <v>#N/A</v>
      </c>
      <c r="CY14" s="60" t="e">
        <f>VLOOKUP(G14,Лист1!$CY$58:$DA$69,2,0)</f>
        <v>#N/A</v>
      </c>
      <c r="CZ14" s="60" t="e">
        <f>VLOOKUP(G14,Лист1!$CY:$DA,2,0)</f>
        <v>#N/A</v>
      </c>
      <c r="DA14" s="60" t="e">
        <f>VLOOKUP(H14,Лист1!$CY:$DA,2,0)</f>
        <v>#N/A</v>
      </c>
      <c r="DB14" s="60">
        <f t="shared" si="49"/>
        <v>0</v>
      </c>
      <c r="DC14" s="60" t="e">
        <f>VLOOKUP(L14,Лист1!$CY:$DA,2,0)</f>
        <v>#N/A</v>
      </c>
      <c r="DD14" s="60" t="e">
        <f>VLOOKUP(CONCATENATE(L14,".",N14),Лист1!$CY:$DA,2,0)</f>
        <v>#N/A</v>
      </c>
      <c r="DE14" s="214" t="str">
        <f t="shared" si="50"/>
        <v/>
      </c>
      <c r="DG14" s="60" t="e">
        <f>VLOOKUP(Q14,Лист1!$CY:$DA,2,0)</f>
        <v>#N/A</v>
      </c>
      <c r="DH14" s="60" t="e">
        <f>VLOOKUP(G14,Лист1!$CY$58:$DA$69,3,0)</f>
        <v>#N/A</v>
      </c>
      <c r="DI14" s="60" t="e">
        <f>VLOOKUP(CONCATENATE(O14,".",CZ14),Лист1!$CY:$DA,2,0)</f>
        <v>#N/A</v>
      </c>
      <c r="DJ14" s="60" t="e">
        <f>VLOOKUP(H14,Лист1!$CY:$DA,2,0)</f>
        <v>#N/A</v>
      </c>
      <c r="DK14" s="60">
        <f t="shared" si="51"/>
        <v>0</v>
      </c>
      <c r="DL14" s="214" t="str">
        <f>IF(R14="","",VLOOKUP(Q14,Лист1!$CY:$DA,3,0)*R14)</f>
        <v/>
      </c>
    </row>
    <row r="15" spans="1:116" x14ac:dyDescent="0.25">
      <c r="A15" s="23" t="str">
        <f t="shared" si="1"/>
        <v>.</v>
      </c>
      <c r="B15" s="70">
        <v>5</v>
      </c>
      <c r="C15" s="418"/>
      <c r="D15" s="419"/>
      <c r="E15" s="420"/>
      <c r="F15" s="418"/>
      <c r="G15" s="421"/>
      <c r="H15" s="418"/>
      <c r="I15" s="420"/>
      <c r="J15" s="418"/>
      <c r="K15" s="420"/>
      <c r="L15" s="418"/>
      <c r="M15" s="422"/>
      <c r="N15" s="423"/>
      <c r="O15" s="424"/>
      <c r="P15" s="424"/>
      <c r="Q15" s="424"/>
      <c r="R15" s="186"/>
      <c r="S15" s="104"/>
      <c r="T15" s="180" t="str">
        <f t="shared" si="2"/>
        <v/>
      </c>
      <c r="U15" s="189" t="str">
        <f t="shared" si="0"/>
        <v/>
      </c>
      <c r="W15" s="123" t="str">
        <f t="shared" si="3"/>
        <v>0</v>
      </c>
      <c r="X15" s="120" t="str">
        <f>IF(OR(R15="",R15=0),"",SUM(ORDER!H21:H23))</f>
        <v/>
      </c>
      <c r="Y15" s="60" t="str">
        <f t="shared" si="4"/>
        <v>..</v>
      </c>
      <c r="Z15" s="60" t="str">
        <f t="shared" ref="Z15:Z25" si="53">CONCATENATE(C15,".",E15,".",F15)</f>
        <v>..</v>
      </c>
      <c r="AB15" s="31">
        <f t="shared" si="5"/>
        <v>0</v>
      </c>
      <c r="AC15" s="68">
        <f t="shared" si="6"/>
        <v>14</v>
      </c>
      <c r="AD15" s="59" t="str">
        <f t="shared" si="7"/>
        <v>.</v>
      </c>
      <c r="AE15" s="60" t="e">
        <f>VLOOKUP(AD15,Лист1!$AW:$AW,1,0)</f>
        <v>#N/A</v>
      </c>
      <c r="AF15" s="49" t="e">
        <f t="shared" si="8"/>
        <v>#N/A</v>
      </c>
      <c r="AG15" s="32" t="str">
        <f t="shared" si="9"/>
        <v>0</v>
      </c>
      <c r="AI15" s="59" t="str">
        <f t="shared" si="10"/>
        <v>..</v>
      </c>
      <c r="AJ15" s="60" t="e">
        <f>VLOOKUP(AI15,Лист1!$BA:$BA,1,0)</f>
        <v>#N/A</v>
      </c>
      <c r="AK15" s="49" t="e">
        <f t="shared" si="11"/>
        <v>#N/A</v>
      </c>
      <c r="AL15" s="32" t="str">
        <f t="shared" si="12"/>
        <v>0</v>
      </c>
      <c r="AN15" s="59" t="str">
        <f t="shared" si="13"/>
        <v>.</v>
      </c>
      <c r="AO15" s="60" t="e">
        <f>VLOOKUP(AN15,Лист1!$BE:$BE,1,0)</f>
        <v>#N/A</v>
      </c>
      <c r="AP15" s="49" t="e">
        <f t="shared" si="14"/>
        <v>#N/A</v>
      </c>
      <c r="AQ15" s="32" t="str">
        <f t="shared" si="15"/>
        <v>0</v>
      </c>
      <c r="AS15" s="59" t="str">
        <f t="shared" si="16"/>
        <v>.</v>
      </c>
      <c r="AT15" s="60" t="e">
        <f>VLOOKUP(AS15,Лист1!$BI:$BI,1,0)</f>
        <v>#N/A</v>
      </c>
      <c r="AU15" s="49" t="e">
        <f t="shared" si="17"/>
        <v>#N/A</v>
      </c>
      <c r="AV15" s="32" t="str">
        <f t="shared" si="18"/>
        <v>0</v>
      </c>
      <c r="AX15" s="59" t="str">
        <f t="shared" si="19"/>
        <v>.</v>
      </c>
      <c r="AY15" s="60" t="e">
        <f>VLOOKUP(AX15,Лист1!$BM:$BM,1,0)</f>
        <v>#N/A</v>
      </c>
      <c r="AZ15" s="49" t="e">
        <f t="shared" si="20"/>
        <v>#N/A</v>
      </c>
      <c r="BA15" s="32" t="str">
        <f t="shared" si="21"/>
        <v>0</v>
      </c>
      <c r="BC15" s="59" t="str">
        <f t="shared" si="22"/>
        <v>.</v>
      </c>
      <c r="BD15" s="60" t="e">
        <f>VLOOKUP(BC15,Лист1!$BQ:$BQ,1,0)</f>
        <v>#N/A</v>
      </c>
      <c r="BE15" s="49" t="e">
        <f t="shared" si="23"/>
        <v>#N/A</v>
      </c>
      <c r="BF15" s="32" t="str">
        <f t="shared" si="24"/>
        <v>0</v>
      </c>
      <c r="BH15" s="59" t="str">
        <f t="shared" si="25"/>
        <v>..</v>
      </c>
      <c r="BI15" s="60" t="e">
        <f>VLOOKUP(BH15,Лист1!$BU:$BU,1,0)</f>
        <v>#N/A</v>
      </c>
      <c r="BJ15" s="49" t="e">
        <f t="shared" si="26"/>
        <v>#N/A</v>
      </c>
      <c r="BK15" s="32" t="str">
        <f t="shared" si="27"/>
        <v>0</v>
      </c>
      <c r="BM15" s="59" t="str">
        <f t="shared" si="28"/>
        <v>..</v>
      </c>
      <c r="BN15" s="60" t="e">
        <f>VLOOKUP(BM15,Лист1!$BY:$BY,1,0)</f>
        <v>#N/A</v>
      </c>
      <c r="BO15" s="49" t="e">
        <f t="shared" si="29"/>
        <v>#N/A</v>
      </c>
      <c r="BP15" s="32" t="str">
        <f t="shared" si="30"/>
        <v>0</v>
      </c>
      <c r="BR15" s="59" t="str">
        <f t="shared" si="31"/>
        <v>...</v>
      </c>
      <c r="BS15" s="60" t="e">
        <f>VLOOKUP(BR15,Лист1!$CC:$CC,1,0)</f>
        <v>#N/A</v>
      </c>
      <c r="BT15" s="49" t="e">
        <f t="shared" si="32"/>
        <v>#N/A</v>
      </c>
      <c r="BU15" s="32" t="str">
        <f t="shared" si="33"/>
        <v>0</v>
      </c>
      <c r="BW15" s="59" t="str">
        <f t="shared" si="52"/>
        <v>...</v>
      </c>
      <c r="BX15" s="60" t="e">
        <f>VLOOKUP(BW15,Лист1!$CG:$CG,1,0)</f>
        <v>#N/A</v>
      </c>
      <c r="BY15" s="49" t="e">
        <f t="shared" si="34"/>
        <v>#N/A</v>
      </c>
      <c r="BZ15" s="32" t="str">
        <f t="shared" si="35"/>
        <v>0</v>
      </c>
      <c r="CB15" s="59" t="str">
        <f t="shared" si="36"/>
        <v>.</v>
      </c>
      <c r="CC15" s="60" t="e">
        <f>VLOOKUP(CB15,Лист1!$CK:$CK,1,0)</f>
        <v>#N/A</v>
      </c>
      <c r="CD15" s="49" t="e">
        <f t="shared" si="37"/>
        <v>#N/A</v>
      </c>
      <c r="CE15" s="32" t="str">
        <f t="shared" si="38"/>
        <v>0</v>
      </c>
      <c r="CG15" s="59" t="str">
        <f t="shared" si="39"/>
        <v>...</v>
      </c>
      <c r="CH15" s="60" t="e">
        <f>VLOOKUP(CG15,Лист1!$CO:$CO,1,0)</f>
        <v>#N/A</v>
      </c>
      <c r="CI15" s="49" t="e">
        <f t="shared" si="40"/>
        <v>#N/A</v>
      </c>
      <c r="CJ15" s="32" t="str">
        <f t="shared" si="41"/>
        <v>0</v>
      </c>
      <c r="CL15" s="59" t="str">
        <f t="shared" si="42"/>
        <v>.</v>
      </c>
      <c r="CM15" s="60" t="e">
        <f>VLOOKUP(CL15,Лист1!$CS:$CS,1,0)</f>
        <v>#N/A</v>
      </c>
      <c r="CN15" s="49" t="e">
        <f t="shared" si="43"/>
        <v>#N/A</v>
      </c>
      <c r="CO15" s="32" t="str">
        <f t="shared" si="44"/>
        <v>0</v>
      </c>
      <c r="CQ15" s="59" t="str">
        <f t="shared" si="45"/>
        <v>.</v>
      </c>
      <c r="CR15" s="60" t="e">
        <f>VLOOKUP(CQ15,Лист1!$CW:$CW,1,0)</f>
        <v>#N/A</v>
      </c>
      <c r="CS15" s="49" t="e">
        <f t="shared" si="46"/>
        <v>#N/A</v>
      </c>
      <c r="CT15" s="32" t="str">
        <f t="shared" si="47"/>
        <v>0</v>
      </c>
      <c r="CV15" s="60" t="e">
        <f>VLOOKUP(O15,Лист1!$CY:$DA,2,0)</f>
        <v>#N/A</v>
      </c>
      <c r="CW15" s="206">
        <f t="shared" si="48"/>
        <v>0</v>
      </c>
      <c r="CX15" s="60" t="e">
        <f>VLOOKUP(E15,Лист1!$CY:$DA,2,0)</f>
        <v>#N/A</v>
      </c>
      <c r="CY15" s="60" t="e">
        <f>VLOOKUP(G15,Лист1!$CY$58:$DA$69,2,0)</f>
        <v>#N/A</v>
      </c>
      <c r="CZ15" s="60" t="e">
        <f>VLOOKUP(G15,Лист1!$CY:$DA,2,0)</f>
        <v>#N/A</v>
      </c>
      <c r="DA15" s="60" t="e">
        <f>VLOOKUP(H15,Лист1!$CY:$DA,2,0)</f>
        <v>#N/A</v>
      </c>
      <c r="DB15" s="60">
        <f t="shared" si="49"/>
        <v>0</v>
      </c>
      <c r="DC15" s="60" t="e">
        <f>VLOOKUP(L15,Лист1!$CY:$DA,2,0)</f>
        <v>#N/A</v>
      </c>
      <c r="DD15" s="60" t="e">
        <f>VLOOKUP(CONCATENATE(L15,".",N15),Лист1!$CY:$DA,2,0)</f>
        <v>#N/A</v>
      </c>
      <c r="DE15" s="214" t="str">
        <f t="shared" si="50"/>
        <v/>
      </c>
      <c r="DG15" s="60" t="e">
        <f>VLOOKUP(Q15,Лист1!$CY:$DA,2,0)</f>
        <v>#N/A</v>
      </c>
      <c r="DH15" s="60" t="e">
        <f>VLOOKUP(G15,Лист1!$CY$58:$DA$69,3,0)</f>
        <v>#N/A</v>
      </c>
      <c r="DI15" s="60" t="e">
        <f>VLOOKUP(CONCATENATE(O15,".",CZ15),Лист1!$CY:$DA,2,0)</f>
        <v>#N/A</v>
      </c>
      <c r="DJ15" s="60" t="e">
        <f>VLOOKUP(H15,Лист1!$CY:$DA,2,0)</f>
        <v>#N/A</v>
      </c>
      <c r="DK15" s="60">
        <f t="shared" si="51"/>
        <v>0</v>
      </c>
      <c r="DL15" s="214" t="str">
        <f>IF(R15="","",VLOOKUP(Q15,Лист1!$CY:$DA,3,0)*R15)</f>
        <v/>
      </c>
    </row>
    <row r="16" spans="1:116" x14ac:dyDescent="0.25">
      <c r="A16" s="23" t="str">
        <f>CONCATENATE(C16,".",D16)</f>
        <v>.</v>
      </c>
      <c r="B16" s="70">
        <v>6</v>
      </c>
      <c r="C16" s="418"/>
      <c r="D16" s="419"/>
      <c r="E16" s="420"/>
      <c r="F16" s="418"/>
      <c r="G16" s="421"/>
      <c r="H16" s="418"/>
      <c r="I16" s="420"/>
      <c r="J16" s="418"/>
      <c r="K16" s="420"/>
      <c r="L16" s="418"/>
      <c r="M16" s="422"/>
      <c r="N16" s="423"/>
      <c r="O16" s="424"/>
      <c r="P16" s="424"/>
      <c r="Q16" s="424"/>
      <c r="R16" s="186"/>
      <c r="S16" s="104"/>
      <c r="T16" s="180" t="str">
        <f t="shared" si="2"/>
        <v/>
      </c>
      <c r="U16" s="189" t="str">
        <f t="shared" si="0"/>
        <v/>
      </c>
      <c r="W16" s="123" t="str">
        <f t="shared" si="3"/>
        <v>0</v>
      </c>
      <c r="X16" s="120" t="str">
        <f>IF(OR(R16="",R16=0),"",SUM(ORDER!H24:H26))</f>
        <v/>
      </c>
      <c r="Y16" s="60" t="str">
        <f>CONCATENATE(C16,".",E16,".",F16)</f>
        <v>..</v>
      </c>
      <c r="Z16" s="60" t="str">
        <f>CONCATENATE(C16,".",E16,".",F16)</f>
        <v>..</v>
      </c>
      <c r="AB16" s="31">
        <f t="shared" si="5"/>
        <v>0</v>
      </c>
      <c r="AC16" s="68">
        <f t="shared" si="6"/>
        <v>14</v>
      </c>
      <c r="AD16" s="59" t="str">
        <f>CONCATENATE(C16,".",D16)</f>
        <v>.</v>
      </c>
      <c r="AE16" s="60" t="e">
        <f>VLOOKUP(AD16,Лист1!$AW:$AW,1,0)</f>
        <v>#N/A</v>
      </c>
      <c r="AF16" s="49" t="e">
        <f t="shared" si="8"/>
        <v>#N/A</v>
      </c>
      <c r="AG16" s="32" t="str">
        <f t="shared" si="9"/>
        <v>0</v>
      </c>
      <c r="AI16" s="59" t="str">
        <f>CONCATENATE(C16,".",D16,".",E16)</f>
        <v>..</v>
      </c>
      <c r="AJ16" s="60" t="e">
        <f>VLOOKUP(AI16,Лист1!$BA:$BA,1,0)</f>
        <v>#N/A</v>
      </c>
      <c r="AK16" s="49" t="e">
        <f t="shared" si="11"/>
        <v>#N/A</v>
      </c>
      <c r="AL16" s="32" t="str">
        <f t="shared" si="12"/>
        <v>0</v>
      </c>
      <c r="AN16" s="59" t="str">
        <f>CONCATENATE(E16,".",F16,)</f>
        <v>.</v>
      </c>
      <c r="AO16" s="60" t="e">
        <f>VLOOKUP(AN16,Лист1!$BE:$BE,1,0)</f>
        <v>#N/A</v>
      </c>
      <c r="AP16" s="49" t="e">
        <f t="shared" si="14"/>
        <v>#N/A</v>
      </c>
      <c r="AQ16" s="32" t="str">
        <f t="shared" si="15"/>
        <v>0</v>
      </c>
      <c r="AS16" s="59" t="str">
        <f t="shared" si="16"/>
        <v>.</v>
      </c>
      <c r="AT16" s="60" t="e">
        <f>VLOOKUP(AS16,Лист1!$BI:$BI,1,0)</f>
        <v>#N/A</v>
      </c>
      <c r="AU16" s="49" t="e">
        <f t="shared" si="17"/>
        <v>#N/A</v>
      </c>
      <c r="AV16" s="32" t="str">
        <f t="shared" si="18"/>
        <v>0</v>
      </c>
      <c r="AX16" s="59" t="str">
        <f>CONCATENATE(C16,".",H16,)</f>
        <v>.</v>
      </c>
      <c r="AY16" s="60" t="e">
        <f>VLOOKUP(AX16,Лист1!$BM:$BM,1,0)</f>
        <v>#N/A</v>
      </c>
      <c r="AZ16" s="49" t="e">
        <f t="shared" si="20"/>
        <v>#N/A</v>
      </c>
      <c r="BA16" s="32" t="str">
        <f t="shared" si="21"/>
        <v>0</v>
      </c>
      <c r="BC16" s="59" t="str">
        <f t="shared" si="22"/>
        <v>.</v>
      </c>
      <c r="BD16" s="60" t="e">
        <f>VLOOKUP(BC16,Лист1!$BQ:$BQ,1,0)</f>
        <v>#N/A</v>
      </c>
      <c r="BE16" s="49" t="e">
        <f t="shared" si="23"/>
        <v>#N/A</v>
      </c>
      <c r="BF16" s="32" t="str">
        <f t="shared" si="24"/>
        <v>0</v>
      </c>
      <c r="BH16" s="59" t="str">
        <f>CONCATENATE(C16,".",D16,".",J16)</f>
        <v>..</v>
      </c>
      <c r="BI16" s="60" t="e">
        <f>VLOOKUP(BH16,Лист1!$BU:$BU,1,0)</f>
        <v>#N/A</v>
      </c>
      <c r="BJ16" s="49" t="e">
        <f t="shared" si="26"/>
        <v>#N/A</v>
      </c>
      <c r="BK16" s="32" t="str">
        <f t="shared" si="27"/>
        <v>0</v>
      </c>
      <c r="BM16" s="59" t="str">
        <f>CONCATENATE(C16,".",D16,".",K16)</f>
        <v>..</v>
      </c>
      <c r="BN16" s="60" t="e">
        <f>VLOOKUP(BM16,Лист1!$BY:$BY,1,0)</f>
        <v>#N/A</v>
      </c>
      <c r="BO16" s="49" t="e">
        <f t="shared" si="29"/>
        <v>#N/A</v>
      </c>
      <c r="BP16" s="32" t="str">
        <f t="shared" si="30"/>
        <v>0</v>
      </c>
      <c r="BR16" s="59" t="str">
        <f>CONCATENATE(C16,".",E16,".",F16,".",L16)</f>
        <v>...</v>
      </c>
      <c r="BS16" s="60" t="e">
        <f>VLOOKUP(BR16,Лист1!$CC:$CC,1,0)</f>
        <v>#N/A</v>
      </c>
      <c r="BT16" s="49" t="e">
        <f t="shared" si="32"/>
        <v>#N/A</v>
      </c>
      <c r="BU16" s="32" t="str">
        <f t="shared" si="33"/>
        <v>0</v>
      </c>
      <c r="BW16" s="59" t="str">
        <f>CONCATENATE(C16,".",E16,".",F16,".",M16)</f>
        <v>...</v>
      </c>
      <c r="BX16" s="60" t="e">
        <f>VLOOKUP(BW16,Лист1!$CG:$CG,1,0)</f>
        <v>#N/A</v>
      </c>
      <c r="BY16" s="49" t="e">
        <f t="shared" si="34"/>
        <v>#N/A</v>
      </c>
      <c r="BZ16" s="32" t="str">
        <f t="shared" si="35"/>
        <v>0</v>
      </c>
      <c r="CB16" s="59" t="str">
        <f t="shared" si="36"/>
        <v>.</v>
      </c>
      <c r="CC16" s="60" t="e">
        <f>VLOOKUP(CB16,Лист1!$CK:$CK,1,0)</f>
        <v>#N/A</v>
      </c>
      <c r="CD16" s="49" t="e">
        <f t="shared" si="37"/>
        <v>#N/A</v>
      </c>
      <c r="CE16" s="32" t="str">
        <f t="shared" si="38"/>
        <v>0</v>
      </c>
      <c r="CG16" s="59" t="str">
        <f>CONCATENATE(C16,".",E16,".",F16,".",O16)</f>
        <v>...</v>
      </c>
      <c r="CH16" s="60" t="e">
        <f>VLOOKUP(CG16,Лист1!$CO:$CO,1,0)</f>
        <v>#N/A</v>
      </c>
      <c r="CI16" s="49" t="e">
        <f t="shared" si="40"/>
        <v>#N/A</v>
      </c>
      <c r="CJ16" s="32" t="str">
        <f t="shared" si="41"/>
        <v>0</v>
      </c>
      <c r="CL16" s="59" t="str">
        <f t="shared" si="42"/>
        <v>.</v>
      </c>
      <c r="CM16" s="60" t="e">
        <f>VLOOKUP(CL16,Лист1!$CS:$CS,1,0)</f>
        <v>#N/A</v>
      </c>
      <c r="CN16" s="49" t="e">
        <f t="shared" si="43"/>
        <v>#N/A</v>
      </c>
      <c r="CO16" s="32" t="str">
        <f t="shared" si="44"/>
        <v>0</v>
      </c>
      <c r="CQ16" s="59" t="str">
        <f t="shared" si="45"/>
        <v>.</v>
      </c>
      <c r="CR16" s="60" t="e">
        <f>VLOOKUP(CQ16,Лист1!$CW:$CW,1,0)</f>
        <v>#N/A</v>
      </c>
      <c r="CS16" s="49" t="e">
        <f t="shared" si="46"/>
        <v>#N/A</v>
      </c>
      <c r="CT16" s="32" t="str">
        <f t="shared" si="47"/>
        <v>0</v>
      </c>
      <c r="CV16" s="60" t="e">
        <f>VLOOKUP(O16,Лист1!$CY:$DA,2,0)</f>
        <v>#N/A</v>
      </c>
      <c r="CW16" s="206">
        <f t="shared" si="48"/>
        <v>0</v>
      </c>
      <c r="CX16" s="60" t="e">
        <f>VLOOKUP(E16,Лист1!$CY:$DA,2,0)</f>
        <v>#N/A</v>
      </c>
      <c r="CY16" s="60" t="e">
        <f>VLOOKUP(G16,Лист1!$CY$58:$DA$69,2,0)</f>
        <v>#N/A</v>
      </c>
      <c r="CZ16" s="60" t="e">
        <f>VLOOKUP(G16,Лист1!$CY:$DA,2,0)</f>
        <v>#N/A</v>
      </c>
      <c r="DA16" s="60" t="e">
        <f>VLOOKUP(H16,Лист1!$CY:$DA,2,0)</f>
        <v>#N/A</v>
      </c>
      <c r="DB16" s="60">
        <f t="shared" si="49"/>
        <v>0</v>
      </c>
      <c r="DC16" s="60" t="e">
        <f>VLOOKUP(L16,Лист1!$CY:$DA,2,0)</f>
        <v>#N/A</v>
      </c>
      <c r="DD16" s="60" t="e">
        <f>VLOOKUP(CONCATENATE(L16,".",N16),Лист1!$CY:$DA,2,0)</f>
        <v>#N/A</v>
      </c>
      <c r="DE16" s="214" t="str">
        <f>IF(R16="","",IF(OR(C16="ДП Добор",C16="ДП Гласфорд",C16="ДП Добор-ЛАДА"),"",R16))</f>
        <v/>
      </c>
      <c r="DG16" s="60" t="e">
        <f>VLOOKUP(Q16,Лист1!$CY:$DA,2,0)</f>
        <v>#N/A</v>
      </c>
      <c r="DH16" s="60" t="e">
        <f>VLOOKUP(G16,Лист1!$CY$58:$DA$69,3,0)</f>
        <v>#N/A</v>
      </c>
      <c r="DI16" s="60" t="e">
        <f>VLOOKUP(CONCATENATE(O16,".",CZ16),Лист1!$CY:$DA,2,0)</f>
        <v>#N/A</v>
      </c>
      <c r="DJ16" s="60" t="e">
        <f>VLOOKUP(H16,Лист1!$CY:$DA,2,0)</f>
        <v>#N/A</v>
      </c>
      <c r="DK16" s="60">
        <f t="shared" si="51"/>
        <v>0</v>
      </c>
      <c r="DL16" s="214" t="str">
        <f>IF(R16="","",VLOOKUP(Q16,Лист1!$CY:$DA,3,0)*R16)</f>
        <v/>
      </c>
    </row>
    <row r="17" spans="1:116" x14ac:dyDescent="0.25">
      <c r="A17" s="23" t="str">
        <f t="shared" si="1"/>
        <v>.</v>
      </c>
      <c r="B17" s="70">
        <v>7</v>
      </c>
      <c r="C17" s="418"/>
      <c r="D17" s="419"/>
      <c r="E17" s="420"/>
      <c r="F17" s="418"/>
      <c r="G17" s="421"/>
      <c r="H17" s="418"/>
      <c r="I17" s="420"/>
      <c r="J17" s="418"/>
      <c r="K17" s="420"/>
      <c r="L17" s="418"/>
      <c r="M17" s="422"/>
      <c r="N17" s="423"/>
      <c r="O17" s="424"/>
      <c r="P17" s="424"/>
      <c r="Q17" s="424"/>
      <c r="R17" s="186"/>
      <c r="S17" s="104"/>
      <c r="T17" s="180" t="str">
        <f t="shared" si="2"/>
        <v/>
      </c>
      <c r="U17" s="189" t="str">
        <f t="shared" si="0"/>
        <v/>
      </c>
      <c r="W17" s="123" t="str">
        <f t="shared" si="3"/>
        <v>0</v>
      </c>
      <c r="X17" s="120" t="str">
        <f>IF(OR(R17="",R17=0),"",SUM(ORDER!H27:H29))</f>
        <v/>
      </c>
      <c r="Y17" s="60" t="str">
        <f t="shared" si="4"/>
        <v>..</v>
      </c>
      <c r="Z17" s="60" t="str">
        <f t="shared" si="53"/>
        <v>..</v>
      </c>
      <c r="AB17" s="31">
        <f t="shared" si="5"/>
        <v>0</v>
      </c>
      <c r="AC17" s="68">
        <f t="shared" si="6"/>
        <v>14</v>
      </c>
      <c r="AD17" s="59" t="str">
        <f t="shared" si="7"/>
        <v>.</v>
      </c>
      <c r="AE17" s="60" t="e">
        <f>VLOOKUP(AD17,Лист1!$AW:$AW,1,0)</f>
        <v>#N/A</v>
      </c>
      <c r="AF17" s="49" t="e">
        <f t="shared" si="8"/>
        <v>#N/A</v>
      </c>
      <c r="AG17" s="32" t="str">
        <f t="shared" si="9"/>
        <v>0</v>
      </c>
      <c r="AI17" s="59" t="str">
        <f t="shared" si="10"/>
        <v>..</v>
      </c>
      <c r="AJ17" s="60" t="e">
        <f>VLOOKUP(AI17,Лист1!$BA:$BA,1,0)</f>
        <v>#N/A</v>
      </c>
      <c r="AK17" s="49" t="e">
        <f t="shared" si="11"/>
        <v>#N/A</v>
      </c>
      <c r="AL17" s="32" t="str">
        <f t="shared" si="12"/>
        <v>0</v>
      </c>
      <c r="AN17" s="59" t="str">
        <f t="shared" si="13"/>
        <v>.</v>
      </c>
      <c r="AO17" s="60" t="e">
        <f>VLOOKUP(AN17,Лист1!$BE:$BE,1,0)</f>
        <v>#N/A</v>
      </c>
      <c r="AP17" s="49" t="e">
        <f t="shared" si="14"/>
        <v>#N/A</v>
      </c>
      <c r="AQ17" s="32" t="str">
        <f t="shared" si="15"/>
        <v>0</v>
      </c>
      <c r="AS17" s="59" t="str">
        <f t="shared" si="16"/>
        <v>.</v>
      </c>
      <c r="AT17" s="60" t="e">
        <f>VLOOKUP(AS17,Лист1!$BI:$BI,1,0)</f>
        <v>#N/A</v>
      </c>
      <c r="AU17" s="49" t="e">
        <f t="shared" si="17"/>
        <v>#N/A</v>
      </c>
      <c r="AV17" s="32" t="str">
        <f t="shared" si="18"/>
        <v>0</v>
      </c>
      <c r="AX17" s="59" t="str">
        <f t="shared" si="19"/>
        <v>.</v>
      </c>
      <c r="AY17" s="60" t="e">
        <f>VLOOKUP(AX17,Лист1!$BM:$BM,1,0)</f>
        <v>#N/A</v>
      </c>
      <c r="AZ17" s="49" t="e">
        <f t="shared" si="20"/>
        <v>#N/A</v>
      </c>
      <c r="BA17" s="32" t="str">
        <f t="shared" si="21"/>
        <v>0</v>
      </c>
      <c r="BC17" s="59" t="str">
        <f t="shared" si="22"/>
        <v>.</v>
      </c>
      <c r="BD17" s="60" t="e">
        <f>VLOOKUP(BC17,Лист1!$BQ:$BQ,1,0)</f>
        <v>#N/A</v>
      </c>
      <c r="BE17" s="49" t="e">
        <f t="shared" si="23"/>
        <v>#N/A</v>
      </c>
      <c r="BF17" s="32" t="str">
        <f t="shared" si="24"/>
        <v>0</v>
      </c>
      <c r="BH17" s="59" t="str">
        <f t="shared" si="25"/>
        <v>..</v>
      </c>
      <c r="BI17" s="60" t="e">
        <f>VLOOKUP(BH17,Лист1!$BU:$BU,1,0)</f>
        <v>#N/A</v>
      </c>
      <c r="BJ17" s="49" t="e">
        <f t="shared" si="26"/>
        <v>#N/A</v>
      </c>
      <c r="BK17" s="32" t="str">
        <f t="shared" si="27"/>
        <v>0</v>
      </c>
      <c r="BM17" s="59" t="str">
        <f t="shared" si="28"/>
        <v>..</v>
      </c>
      <c r="BN17" s="60" t="e">
        <f>VLOOKUP(BM17,Лист1!$BY:$BY,1,0)</f>
        <v>#N/A</v>
      </c>
      <c r="BO17" s="49" t="e">
        <f t="shared" si="29"/>
        <v>#N/A</v>
      </c>
      <c r="BP17" s="32" t="str">
        <f t="shared" si="30"/>
        <v>0</v>
      </c>
      <c r="BR17" s="59" t="str">
        <f t="shared" si="31"/>
        <v>...</v>
      </c>
      <c r="BS17" s="60" t="e">
        <f>VLOOKUP(BR17,Лист1!$CC:$CC,1,0)</f>
        <v>#N/A</v>
      </c>
      <c r="BT17" s="49" t="e">
        <f t="shared" si="32"/>
        <v>#N/A</v>
      </c>
      <c r="BU17" s="32" t="str">
        <f t="shared" si="33"/>
        <v>0</v>
      </c>
      <c r="BW17" s="59" t="str">
        <f t="shared" si="52"/>
        <v>...</v>
      </c>
      <c r="BX17" s="60" t="e">
        <f>VLOOKUP(BW17,Лист1!$CG:$CG,1,0)</f>
        <v>#N/A</v>
      </c>
      <c r="BY17" s="49" t="e">
        <f t="shared" si="34"/>
        <v>#N/A</v>
      </c>
      <c r="BZ17" s="32" t="str">
        <f t="shared" si="35"/>
        <v>0</v>
      </c>
      <c r="CB17" s="59" t="str">
        <f t="shared" si="36"/>
        <v>.</v>
      </c>
      <c r="CC17" s="60" t="e">
        <f>VLOOKUP(CB17,Лист1!$CK:$CK,1,0)</f>
        <v>#N/A</v>
      </c>
      <c r="CD17" s="49" t="e">
        <f t="shared" si="37"/>
        <v>#N/A</v>
      </c>
      <c r="CE17" s="32" t="str">
        <f t="shared" si="38"/>
        <v>0</v>
      </c>
      <c r="CG17" s="59" t="str">
        <f t="shared" si="39"/>
        <v>...</v>
      </c>
      <c r="CH17" s="60" t="e">
        <f>VLOOKUP(CG17,Лист1!$CO:$CO,1,0)</f>
        <v>#N/A</v>
      </c>
      <c r="CI17" s="49" t="e">
        <f t="shared" si="40"/>
        <v>#N/A</v>
      </c>
      <c r="CJ17" s="32" t="str">
        <f t="shared" si="41"/>
        <v>0</v>
      </c>
      <c r="CL17" s="59" t="str">
        <f t="shared" si="42"/>
        <v>.</v>
      </c>
      <c r="CM17" s="60" t="e">
        <f>VLOOKUP(CL17,Лист1!$CS:$CS,1,0)</f>
        <v>#N/A</v>
      </c>
      <c r="CN17" s="49" t="e">
        <f t="shared" si="43"/>
        <v>#N/A</v>
      </c>
      <c r="CO17" s="32" t="str">
        <f t="shared" si="44"/>
        <v>0</v>
      </c>
      <c r="CQ17" s="59" t="str">
        <f t="shared" si="45"/>
        <v>.</v>
      </c>
      <c r="CR17" s="60" t="e">
        <f>VLOOKUP(CQ17,Лист1!$CW:$CW,1,0)</f>
        <v>#N/A</v>
      </c>
      <c r="CS17" s="49" t="e">
        <f t="shared" si="46"/>
        <v>#N/A</v>
      </c>
      <c r="CT17" s="32" t="str">
        <f t="shared" si="47"/>
        <v>0</v>
      </c>
      <c r="CV17" s="60" t="e">
        <f>VLOOKUP(O17,Лист1!$CY:$DA,2,0)</f>
        <v>#N/A</v>
      </c>
      <c r="CW17" s="206">
        <f t="shared" si="48"/>
        <v>0</v>
      </c>
      <c r="CX17" s="60" t="e">
        <f>VLOOKUP(E17,Лист1!$CY:$DA,2,0)</f>
        <v>#N/A</v>
      </c>
      <c r="CY17" s="60" t="e">
        <f>VLOOKUP(G17,Лист1!$CY$58:$DA$69,2,0)</f>
        <v>#N/A</v>
      </c>
      <c r="CZ17" s="60" t="e">
        <f>VLOOKUP(G17,Лист1!$CY:$DA,2,0)</f>
        <v>#N/A</v>
      </c>
      <c r="DA17" s="60" t="e">
        <f>VLOOKUP(H17,Лист1!$CY:$DA,2,0)</f>
        <v>#N/A</v>
      </c>
      <c r="DB17" s="60">
        <f t="shared" si="49"/>
        <v>0</v>
      </c>
      <c r="DC17" s="60" t="e">
        <f>VLOOKUP(L17,Лист1!$CY:$DA,2,0)</f>
        <v>#N/A</v>
      </c>
      <c r="DD17" s="60" t="e">
        <f>VLOOKUP(CONCATENATE(L17,".",N17),Лист1!$CY:$DA,2,0)</f>
        <v>#N/A</v>
      </c>
      <c r="DE17" s="214" t="str">
        <f t="shared" si="50"/>
        <v/>
      </c>
      <c r="DG17" s="60" t="e">
        <f>VLOOKUP(Q17,Лист1!$CY:$DA,2,0)</f>
        <v>#N/A</v>
      </c>
      <c r="DH17" s="60" t="e">
        <f>VLOOKUP(G17,Лист1!$CY$58:$DA$69,3,0)</f>
        <v>#N/A</v>
      </c>
      <c r="DI17" s="60" t="e">
        <f>VLOOKUP(CONCATENATE(O17,".",CZ17),Лист1!$CY:$DA,2,0)</f>
        <v>#N/A</v>
      </c>
      <c r="DJ17" s="60" t="e">
        <f>VLOOKUP(H17,Лист1!$CY:$DA,2,0)</f>
        <v>#N/A</v>
      </c>
      <c r="DK17" s="60">
        <f t="shared" si="51"/>
        <v>0</v>
      </c>
      <c r="DL17" s="214" t="str">
        <f>IF(R17="","",VLOOKUP(Q17,Лист1!$CY:$DA,3,0)*R17)</f>
        <v/>
      </c>
    </row>
    <row r="18" spans="1:116" x14ac:dyDescent="0.25">
      <c r="A18" s="23" t="str">
        <f t="shared" si="1"/>
        <v>.</v>
      </c>
      <c r="B18" s="70">
        <v>8</v>
      </c>
      <c r="C18" s="418"/>
      <c r="D18" s="419"/>
      <c r="E18" s="420"/>
      <c r="F18" s="418"/>
      <c r="G18" s="421"/>
      <c r="H18" s="418"/>
      <c r="I18" s="420"/>
      <c r="J18" s="418"/>
      <c r="K18" s="420"/>
      <c r="L18" s="418"/>
      <c r="M18" s="422"/>
      <c r="N18" s="423"/>
      <c r="O18" s="424"/>
      <c r="P18" s="424"/>
      <c r="Q18" s="424"/>
      <c r="R18" s="187"/>
      <c r="S18" s="104"/>
      <c r="T18" s="180" t="str">
        <f t="shared" si="2"/>
        <v/>
      </c>
      <c r="U18" s="189" t="str">
        <f t="shared" si="0"/>
        <v/>
      </c>
      <c r="W18" s="123" t="str">
        <f t="shared" si="3"/>
        <v>0</v>
      </c>
      <c r="X18" s="120" t="str">
        <f>IF(OR(R18="",R18=0),"",SUM(ORDER!H30:H32))</f>
        <v/>
      </c>
      <c r="Y18" s="60" t="str">
        <f t="shared" ref="Y18:Y23" si="54">CONCATENATE(C18,".",E18,".",F18)</f>
        <v>..</v>
      </c>
      <c r="Z18" s="60" t="str">
        <f t="shared" si="53"/>
        <v>..</v>
      </c>
      <c r="AB18" s="31">
        <f t="shared" si="5"/>
        <v>0</v>
      </c>
      <c r="AC18" s="68">
        <f t="shared" si="6"/>
        <v>14</v>
      </c>
      <c r="AD18" s="59" t="str">
        <f t="shared" si="7"/>
        <v>.</v>
      </c>
      <c r="AE18" s="60" t="e">
        <f>VLOOKUP(AD18,Лист1!$AW:$AW,1,0)</f>
        <v>#N/A</v>
      </c>
      <c r="AF18" s="49" t="e">
        <f t="shared" si="8"/>
        <v>#N/A</v>
      </c>
      <c r="AG18" s="32" t="str">
        <f t="shared" si="9"/>
        <v>0</v>
      </c>
      <c r="AI18" s="59" t="str">
        <f t="shared" si="10"/>
        <v>..</v>
      </c>
      <c r="AJ18" s="60" t="e">
        <f>VLOOKUP(AI18,Лист1!$BA:$BA,1,0)</f>
        <v>#N/A</v>
      </c>
      <c r="AK18" s="49" t="e">
        <f t="shared" si="11"/>
        <v>#N/A</v>
      </c>
      <c r="AL18" s="32" t="str">
        <f t="shared" si="12"/>
        <v>0</v>
      </c>
      <c r="AN18" s="59" t="str">
        <f t="shared" si="13"/>
        <v>.</v>
      </c>
      <c r="AO18" s="60" t="e">
        <f>VLOOKUP(AN18,Лист1!$BE:$BE,1,0)</f>
        <v>#N/A</v>
      </c>
      <c r="AP18" s="49" t="e">
        <f t="shared" si="14"/>
        <v>#N/A</v>
      </c>
      <c r="AQ18" s="32" t="str">
        <f t="shared" si="15"/>
        <v>0</v>
      </c>
      <c r="AS18" s="59" t="str">
        <f t="shared" si="16"/>
        <v>.</v>
      </c>
      <c r="AT18" s="60" t="e">
        <f>VLOOKUP(AS18,Лист1!$BI:$BI,1,0)</f>
        <v>#N/A</v>
      </c>
      <c r="AU18" s="49" t="e">
        <f t="shared" si="17"/>
        <v>#N/A</v>
      </c>
      <c r="AV18" s="32" t="str">
        <f t="shared" si="18"/>
        <v>0</v>
      </c>
      <c r="AX18" s="59" t="str">
        <f t="shared" si="19"/>
        <v>.</v>
      </c>
      <c r="AY18" s="60" t="e">
        <f>VLOOKUP(AX18,Лист1!$BM:$BM,1,0)</f>
        <v>#N/A</v>
      </c>
      <c r="AZ18" s="49" t="e">
        <f t="shared" si="20"/>
        <v>#N/A</v>
      </c>
      <c r="BA18" s="32" t="str">
        <f t="shared" si="21"/>
        <v>0</v>
      </c>
      <c r="BC18" s="59" t="str">
        <f t="shared" si="22"/>
        <v>.</v>
      </c>
      <c r="BD18" s="60" t="e">
        <f>VLOOKUP(BC18,Лист1!$BQ:$BQ,1,0)</f>
        <v>#N/A</v>
      </c>
      <c r="BE18" s="49" t="e">
        <f t="shared" si="23"/>
        <v>#N/A</v>
      </c>
      <c r="BF18" s="32" t="str">
        <f t="shared" si="24"/>
        <v>0</v>
      </c>
      <c r="BH18" s="59" t="str">
        <f t="shared" si="25"/>
        <v>..</v>
      </c>
      <c r="BI18" s="60" t="e">
        <f>VLOOKUP(BH18,Лист1!$BU:$BU,1,0)</f>
        <v>#N/A</v>
      </c>
      <c r="BJ18" s="49" t="e">
        <f t="shared" si="26"/>
        <v>#N/A</v>
      </c>
      <c r="BK18" s="32" t="str">
        <f t="shared" si="27"/>
        <v>0</v>
      </c>
      <c r="BM18" s="59" t="str">
        <f t="shared" si="28"/>
        <v>..</v>
      </c>
      <c r="BN18" s="60" t="e">
        <f>VLOOKUP(BM18,Лист1!$BY:$BY,1,0)</f>
        <v>#N/A</v>
      </c>
      <c r="BO18" s="49" t="e">
        <f t="shared" si="29"/>
        <v>#N/A</v>
      </c>
      <c r="BP18" s="32" t="str">
        <f t="shared" si="30"/>
        <v>0</v>
      </c>
      <c r="BR18" s="59" t="str">
        <f t="shared" si="31"/>
        <v>...</v>
      </c>
      <c r="BS18" s="60" t="e">
        <f>VLOOKUP(BR18,Лист1!$CC:$CC,1,0)</f>
        <v>#N/A</v>
      </c>
      <c r="BT18" s="49" t="e">
        <f t="shared" si="32"/>
        <v>#N/A</v>
      </c>
      <c r="BU18" s="32" t="str">
        <f t="shared" si="33"/>
        <v>0</v>
      </c>
      <c r="BW18" s="59" t="str">
        <f t="shared" si="52"/>
        <v>...</v>
      </c>
      <c r="BX18" s="60" t="e">
        <f>VLOOKUP(BW18,Лист1!$CG:$CG,1,0)</f>
        <v>#N/A</v>
      </c>
      <c r="BY18" s="49" t="e">
        <f t="shared" si="34"/>
        <v>#N/A</v>
      </c>
      <c r="BZ18" s="32" t="str">
        <f t="shared" si="35"/>
        <v>0</v>
      </c>
      <c r="CB18" s="59" t="str">
        <f t="shared" si="36"/>
        <v>.</v>
      </c>
      <c r="CC18" s="60" t="e">
        <f>VLOOKUP(CB18,Лист1!$CK:$CK,1,0)</f>
        <v>#N/A</v>
      </c>
      <c r="CD18" s="49" t="e">
        <f t="shared" si="37"/>
        <v>#N/A</v>
      </c>
      <c r="CE18" s="32" t="str">
        <f t="shared" si="38"/>
        <v>0</v>
      </c>
      <c r="CG18" s="59" t="str">
        <f t="shared" si="39"/>
        <v>...</v>
      </c>
      <c r="CH18" s="60" t="e">
        <f>VLOOKUP(CG18,Лист1!$CO:$CO,1,0)</f>
        <v>#N/A</v>
      </c>
      <c r="CI18" s="49" t="e">
        <f t="shared" si="40"/>
        <v>#N/A</v>
      </c>
      <c r="CJ18" s="32" t="str">
        <f t="shared" si="41"/>
        <v>0</v>
      </c>
      <c r="CL18" s="59" t="str">
        <f t="shared" si="42"/>
        <v>.</v>
      </c>
      <c r="CM18" s="60" t="e">
        <f>VLOOKUP(CL18,Лист1!$CS:$CS,1,0)</f>
        <v>#N/A</v>
      </c>
      <c r="CN18" s="49" t="e">
        <f t="shared" si="43"/>
        <v>#N/A</v>
      </c>
      <c r="CO18" s="32" t="str">
        <f t="shared" si="44"/>
        <v>0</v>
      </c>
      <c r="CQ18" s="59" t="str">
        <f t="shared" si="45"/>
        <v>.</v>
      </c>
      <c r="CR18" s="60" t="e">
        <f>VLOOKUP(CQ18,Лист1!$CW:$CW,1,0)</f>
        <v>#N/A</v>
      </c>
      <c r="CS18" s="49" t="e">
        <f t="shared" si="46"/>
        <v>#N/A</v>
      </c>
      <c r="CT18" s="32" t="str">
        <f t="shared" si="47"/>
        <v>0</v>
      </c>
      <c r="CV18" s="60" t="e">
        <f>VLOOKUP(O18,Лист1!$CY:$DA,2,0)</f>
        <v>#N/A</v>
      </c>
      <c r="CW18" s="206">
        <f t="shared" si="48"/>
        <v>0</v>
      </c>
      <c r="CX18" s="60" t="e">
        <f>VLOOKUP(E18,Лист1!$CY:$DA,2,0)</f>
        <v>#N/A</v>
      </c>
      <c r="CY18" s="60" t="e">
        <f>VLOOKUP(G18,Лист1!$CY$58:$DA$69,2,0)</f>
        <v>#N/A</v>
      </c>
      <c r="CZ18" s="60" t="e">
        <f>VLOOKUP(G18,Лист1!$CY:$DA,2,0)</f>
        <v>#N/A</v>
      </c>
      <c r="DA18" s="60" t="e">
        <f>VLOOKUP(H18,Лист1!$CY:$DA,2,0)</f>
        <v>#N/A</v>
      </c>
      <c r="DB18" s="60">
        <f t="shared" si="49"/>
        <v>0</v>
      </c>
      <c r="DC18" s="60" t="e">
        <f>VLOOKUP(L18,Лист1!$CY:$DA,2,0)</f>
        <v>#N/A</v>
      </c>
      <c r="DD18" s="60" t="e">
        <f>VLOOKUP(CONCATENATE(L18,".",N18),Лист1!$CY:$DA,2,0)</f>
        <v>#N/A</v>
      </c>
      <c r="DE18" s="214" t="str">
        <f t="shared" si="50"/>
        <v/>
      </c>
      <c r="DG18" s="60" t="e">
        <f>VLOOKUP(Q18,Лист1!$CY:$DA,2,0)</f>
        <v>#N/A</v>
      </c>
      <c r="DH18" s="60" t="e">
        <f>VLOOKUP(G18,Лист1!$CY$58:$DA$69,3,0)</f>
        <v>#N/A</v>
      </c>
      <c r="DI18" s="60" t="e">
        <f>VLOOKUP(CONCATENATE(O18,".",CZ18),Лист1!$CY:$DA,2,0)</f>
        <v>#N/A</v>
      </c>
      <c r="DJ18" s="60" t="e">
        <f>VLOOKUP(H18,Лист1!$CY:$DA,2,0)</f>
        <v>#N/A</v>
      </c>
      <c r="DK18" s="60">
        <f t="shared" si="51"/>
        <v>0</v>
      </c>
      <c r="DL18" s="214" t="str">
        <f>IF(R18="","",VLOOKUP(Q18,Лист1!$CY:$DA,3,0)*R18)</f>
        <v/>
      </c>
    </row>
    <row r="19" spans="1:116" x14ac:dyDescent="0.25">
      <c r="A19" s="23" t="str">
        <f>CONCATENATE(C19,".",D19)</f>
        <v>.</v>
      </c>
      <c r="B19" s="70">
        <v>9</v>
      </c>
      <c r="C19" s="418"/>
      <c r="D19" s="419"/>
      <c r="E19" s="420"/>
      <c r="F19" s="418"/>
      <c r="G19" s="421"/>
      <c r="H19" s="418"/>
      <c r="I19" s="420"/>
      <c r="J19" s="418"/>
      <c r="K19" s="420"/>
      <c r="L19" s="418"/>
      <c r="M19" s="422"/>
      <c r="N19" s="423"/>
      <c r="O19" s="424"/>
      <c r="P19" s="424"/>
      <c r="Q19" s="424"/>
      <c r="R19" s="187"/>
      <c r="S19" s="104"/>
      <c r="T19" s="180" t="str">
        <f>IF(OR(W19="",W19="0"),"",W19)</f>
        <v/>
      </c>
      <c r="U19" s="189" t="str">
        <f>IF(R19="","",IF(NOT(AC19=0),"Ошибка в строке",""))</f>
        <v/>
      </c>
      <c r="W19" s="123" t="str">
        <f>IF(OR(ISNA(X19),NOT(AC19=0)),"0",X19)</f>
        <v>0</v>
      </c>
      <c r="X19" s="120" t="str">
        <f>IF(OR(R19="",R19=0),"",SUM(ORDER!H33:H35))</f>
        <v/>
      </c>
      <c r="Y19" s="60" t="str">
        <f t="shared" si="54"/>
        <v>..</v>
      </c>
      <c r="Z19" s="60" t="str">
        <f t="shared" si="53"/>
        <v>..</v>
      </c>
      <c r="AB19" s="31">
        <f>AG19+AL19+AQ19+AV19+BA19+BF19+BK19+BP19+BU19+BZ19+CE19+CJ19+CO19+CT19</f>
        <v>0</v>
      </c>
      <c r="AC19" s="68">
        <f t="shared" si="6"/>
        <v>14</v>
      </c>
      <c r="AD19" s="59" t="str">
        <f>CONCATENATE(C19,".",D19)</f>
        <v>.</v>
      </c>
      <c r="AE19" s="60" t="e">
        <f>VLOOKUP(AD19,Лист1!$AW:$AW,1,0)</f>
        <v>#N/A</v>
      </c>
      <c r="AF19" s="49" t="e">
        <f>IF(AD19=AE19,1,0)</f>
        <v>#N/A</v>
      </c>
      <c r="AG19" s="32" t="str">
        <f t="shared" si="9"/>
        <v>0</v>
      </c>
      <c r="AI19" s="59" t="str">
        <f>CONCATENATE(C19,".",D19,".",E19)</f>
        <v>..</v>
      </c>
      <c r="AJ19" s="60" t="e">
        <f>VLOOKUP(AI19,Лист1!$BA:$BA,1,0)</f>
        <v>#N/A</v>
      </c>
      <c r="AK19" s="49" t="e">
        <f>IF(AI19=AJ19,1,0)</f>
        <v>#N/A</v>
      </c>
      <c r="AL19" s="32" t="str">
        <f t="shared" si="12"/>
        <v>0</v>
      </c>
      <c r="AN19" s="59" t="str">
        <f>CONCATENATE(E19,".",F19,)</f>
        <v>.</v>
      </c>
      <c r="AO19" s="60" t="e">
        <f>VLOOKUP(AN19,Лист1!$BE:$BE,1,0)</f>
        <v>#N/A</v>
      </c>
      <c r="AP19" s="49" t="e">
        <f>IF(AN19=AO19,1,0)</f>
        <v>#N/A</v>
      </c>
      <c r="AQ19" s="32" t="str">
        <f t="shared" si="15"/>
        <v>0</v>
      </c>
      <c r="AS19" s="59" t="str">
        <f>CONCATENATE(F19,".",G19,)</f>
        <v>.</v>
      </c>
      <c r="AT19" s="60" t="e">
        <f>VLOOKUP(AS19,Лист1!$BI:$BI,1,0)</f>
        <v>#N/A</v>
      </c>
      <c r="AU19" s="49" t="e">
        <f>IF(AS19=AT19,1,0)</f>
        <v>#N/A</v>
      </c>
      <c r="AV19" s="32" t="str">
        <f t="shared" si="18"/>
        <v>0</v>
      </c>
      <c r="AX19" s="59" t="str">
        <f>CONCATENATE(C19,".",H19,)</f>
        <v>.</v>
      </c>
      <c r="AY19" s="60" t="e">
        <f>VLOOKUP(AX19,Лист1!$BM:$BM,1,0)</f>
        <v>#N/A</v>
      </c>
      <c r="AZ19" s="49" t="e">
        <f>IF(AX19=AY19,1,0)</f>
        <v>#N/A</v>
      </c>
      <c r="BA19" s="32" t="str">
        <f t="shared" si="21"/>
        <v>0</v>
      </c>
      <c r="BC19" s="59" t="str">
        <f>CONCATENATE(H19,".",I19,)</f>
        <v>.</v>
      </c>
      <c r="BD19" s="60" t="e">
        <f>VLOOKUP(BC19,Лист1!$BQ:$BQ,1,0)</f>
        <v>#N/A</v>
      </c>
      <c r="BE19" s="49" t="e">
        <f>IF(BC19=BD19,1,0)</f>
        <v>#N/A</v>
      </c>
      <c r="BF19" s="32" t="str">
        <f t="shared" si="24"/>
        <v>0</v>
      </c>
      <c r="BH19" s="59" t="str">
        <f>CONCATENATE(C19,".",D19,".",J19)</f>
        <v>..</v>
      </c>
      <c r="BI19" s="60" t="e">
        <f>VLOOKUP(BH19,Лист1!$BU:$BU,1,0)</f>
        <v>#N/A</v>
      </c>
      <c r="BJ19" s="49" t="e">
        <f>IF(BH19=BI19,1,0)</f>
        <v>#N/A</v>
      </c>
      <c r="BK19" s="32" t="str">
        <f t="shared" si="27"/>
        <v>0</v>
      </c>
      <c r="BM19" s="59" t="str">
        <f>CONCATENATE(C19,".",D19,".",K19)</f>
        <v>..</v>
      </c>
      <c r="BN19" s="60" t="e">
        <f>VLOOKUP(BM19,Лист1!$BY:$BY,1,0)</f>
        <v>#N/A</v>
      </c>
      <c r="BO19" s="49" t="e">
        <f>IF(BM19=BN19,1,0)</f>
        <v>#N/A</v>
      </c>
      <c r="BP19" s="32" t="str">
        <f t="shared" si="30"/>
        <v>0</v>
      </c>
      <c r="BR19" s="59" t="str">
        <f>CONCATENATE(C19,".",E19,".",F19,".",L19)</f>
        <v>...</v>
      </c>
      <c r="BS19" s="60" t="e">
        <f>VLOOKUP(BR19,Лист1!$CC:$CC,1,0)</f>
        <v>#N/A</v>
      </c>
      <c r="BT19" s="49" t="e">
        <f>IF(BR19=BS19,1,0)</f>
        <v>#N/A</v>
      </c>
      <c r="BU19" s="32" t="str">
        <f t="shared" si="33"/>
        <v>0</v>
      </c>
      <c r="BW19" s="59" t="str">
        <f t="shared" si="52"/>
        <v>...</v>
      </c>
      <c r="BX19" s="60" t="e">
        <f>VLOOKUP(BW19,Лист1!$CG:$CG,1,0)</f>
        <v>#N/A</v>
      </c>
      <c r="BY19" s="49" t="e">
        <f>IF(BW19=BX19,1,0)</f>
        <v>#N/A</v>
      </c>
      <c r="BZ19" s="32" t="str">
        <f t="shared" si="35"/>
        <v>0</v>
      </c>
      <c r="CB19" s="59" t="str">
        <f>CONCATENATE(L19,".",N19)</f>
        <v>.</v>
      </c>
      <c r="CC19" s="60" t="e">
        <f>VLOOKUP(CB19,Лист1!$CK:$CK,1,0)</f>
        <v>#N/A</v>
      </c>
      <c r="CD19" s="49" t="e">
        <f>IF(CB19=CC19,1,0)</f>
        <v>#N/A</v>
      </c>
      <c r="CE19" s="32" t="str">
        <f t="shared" si="38"/>
        <v>0</v>
      </c>
      <c r="CG19" s="59" t="str">
        <f t="shared" si="39"/>
        <v>...</v>
      </c>
      <c r="CH19" s="60" t="e">
        <f>VLOOKUP(CG19,Лист1!$CO:$CO,1,0)</f>
        <v>#N/A</v>
      </c>
      <c r="CI19" s="49" t="e">
        <f>IF(CG19=CH19,1,0)</f>
        <v>#N/A</v>
      </c>
      <c r="CJ19" s="32" t="str">
        <f t="shared" si="41"/>
        <v>0</v>
      </c>
      <c r="CL19" s="59" t="str">
        <f>CONCATENATE(O19,".",P19)</f>
        <v>.</v>
      </c>
      <c r="CM19" s="60" t="e">
        <f>VLOOKUP(CL19,Лист1!$CS:$CS,1,0)</f>
        <v>#N/A</v>
      </c>
      <c r="CN19" s="49" t="e">
        <f>IF(CL19=CM19,1,0)</f>
        <v>#N/A</v>
      </c>
      <c r="CO19" s="32" t="str">
        <f t="shared" si="44"/>
        <v>0</v>
      </c>
      <c r="CQ19" s="59" t="str">
        <f>CONCATENATE(O19,".",Q19)</f>
        <v>.</v>
      </c>
      <c r="CR19" s="60" t="e">
        <f>VLOOKUP(CQ19,Лист1!$CW:$CW,1,0)</f>
        <v>#N/A</v>
      </c>
      <c r="CS19" s="49" t="e">
        <f>IF(CQ19=CR19,1,0)</f>
        <v>#N/A</v>
      </c>
      <c r="CT19" s="32" t="str">
        <f t="shared" si="47"/>
        <v>0</v>
      </c>
      <c r="CV19" s="60" t="e">
        <f>VLOOKUP(O19,Лист1!$CY:$DA,2,0)</f>
        <v>#N/A</v>
      </c>
      <c r="CW19" s="206">
        <f>P19</f>
        <v>0</v>
      </c>
      <c r="CX19" s="60" t="e">
        <f>VLOOKUP(E19,Лист1!$CY:$DA,2,0)</f>
        <v>#N/A</v>
      </c>
      <c r="CY19" s="60" t="e">
        <f>VLOOKUP(G19,Лист1!$CY$58:$DA$69,2,0)</f>
        <v>#N/A</v>
      </c>
      <c r="CZ19" s="60" t="e">
        <f>VLOOKUP(G19,Лист1!$CY:$DA,2,0)</f>
        <v>#N/A</v>
      </c>
      <c r="DA19" s="60" t="e">
        <f>VLOOKUP(H19,Лист1!$CY:$DA,2,0)</f>
        <v>#N/A</v>
      </c>
      <c r="DB19" s="60">
        <f>I19</f>
        <v>0</v>
      </c>
      <c r="DC19" s="60" t="e">
        <f>VLOOKUP(L19,Лист1!$CY:$DA,2,0)</f>
        <v>#N/A</v>
      </c>
      <c r="DD19" s="60" t="e">
        <f>VLOOKUP(CONCATENATE(L19,".",N19),Лист1!$CY:$DA,2,0)</f>
        <v>#N/A</v>
      </c>
      <c r="DE19" s="214" t="str">
        <f t="shared" si="50"/>
        <v/>
      </c>
      <c r="DG19" s="60" t="e">
        <f>VLOOKUP(Q19,Лист1!$CY:$DA,2,0)</f>
        <v>#N/A</v>
      </c>
      <c r="DH19" s="60" t="e">
        <f>VLOOKUP(G19,Лист1!$CY$58:$DA$69,3,0)</f>
        <v>#N/A</v>
      </c>
      <c r="DI19" s="60" t="e">
        <f>VLOOKUP(CONCATENATE(O19,".",CZ19),Лист1!$CY:$DA,2,0)</f>
        <v>#N/A</v>
      </c>
      <c r="DJ19" s="60" t="e">
        <f>VLOOKUP(H19,Лист1!$CY:$DA,2,0)</f>
        <v>#N/A</v>
      </c>
      <c r="DK19" s="60">
        <f>I19</f>
        <v>0</v>
      </c>
      <c r="DL19" s="214" t="str">
        <f>IF(R19="","",VLOOKUP(Q19,Лист1!$CY:$DA,3,0)*R19)</f>
        <v/>
      </c>
    </row>
    <row r="20" spans="1:116" x14ac:dyDescent="0.25">
      <c r="A20" s="23" t="str">
        <f t="shared" si="1"/>
        <v>.</v>
      </c>
      <c r="B20" s="70">
        <v>10</v>
      </c>
      <c r="C20" s="418"/>
      <c r="D20" s="419"/>
      <c r="E20" s="420"/>
      <c r="F20" s="418"/>
      <c r="G20" s="421"/>
      <c r="H20" s="418"/>
      <c r="I20" s="420"/>
      <c r="J20" s="418"/>
      <c r="K20" s="420"/>
      <c r="L20" s="418"/>
      <c r="M20" s="422"/>
      <c r="N20" s="423"/>
      <c r="O20" s="424"/>
      <c r="P20" s="424"/>
      <c r="Q20" s="424"/>
      <c r="R20" s="187"/>
      <c r="S20" s="104"/>
      <c r="T20" s="180" t="str">
        <f t="shared" si="2"/>
        <v/>
      </c>
      <c r="U20" s="189" t="str">
        <f t="shared" si="0"/>
        <v/>
      </c>
      <c r="W20" s="123" t="str">
        <f t="shared" si="3"/>
        <v>0</v>
      </c>
      <c r="X20" s="120" t="str">
        <f>IF(OR(R20="",R20=0),"",SUM(ORDER!H36:H38))</f>
        <v/>
      </c>
      <c r="Y20" s="60" t="str">
        <f t="shared" si="54"/>
        <v>..</v>
      </c>
      <c r="Z20" s="60" t="str">
        <f t="shared" si="53"/>
        <v>..</v>
      </c>
      <c r="AB20" s="31">
        <f t="shared" si="5"/>
        <v>0</v>
      </c>
      <c r="AC20" s="68">
        <f t="shared" si="6"/>
        <v>14</v>
      </c>
      <c r="AD20" s="59" t="str">
        <f t="shared" si="7"/>
        <v>.</v>
      </c>
      <c r="AE20" s="60" t="e">
        <f>VLOOKUP(AD20,Лист1!$AW:$AW,1,0)</f>
        <v>#N/A</v>
      </c>
      <c r="AF20" s="49" t="e">
        <f t="shared" si="8"/>
        <v>#N/A</v>
      </c>
      <c r="AG20" s="32" t="str">
        <f t="shared" si="9"/>
        <v>0</v>
      </c>
      <c r="AI20" s="59" t="str">
        <f t="shared" si="10"/>
        <v>..</v>
      </c>
      <c r="AJ20" s="60" t="e">
        <f>VLOOKUP(AI20,Лист1!$BA:$BA,1,0)</f>
        <v>#N/A</v>
      </c>
      <c r="AK20" s="49" t="e">
        <f t="shared" si="11"/>
        <v>#N/A</v>
      </c>
      <c r="AL20" s="32" t="str">
        <f t="shared" si="12"/>
        <v>0</v>
      </c>
      <c r="AN20" s="59" t="str">
        <f t="shared" si="13"/>
        <v>.</v>
      </c>
      <c r="AO20" s="60" t="e">
        <f>VLOOKUP(AN20,Лист1!$BE:$BE,1,0)</f>
        <v>#N/A</v>
      </c>
      <c r="AP20" s="49" t="e">
        <f t="shared" si="14"/>
        <v>#N/A</v>
      </c>
      <c r="AQ20" s="32" t="str">
        <f t="shared" si="15"/>
        <v>0</v>
      </c>
      <c r="AS20" s="59" t="str">
        <f t="shared" si="16"/>
        <v>.</v>
      </c>
      <c r="AT20" s="60" t="e">
        <f>VLOOKUP(AS20,Лист1!$BI:$BI,1,0)</f>
        <v>#N/A</v>
      </c>
      <c r="AU20" s="49" t="e">
        <f t="shared" si="17"/>
        <v>#N/A</v>
      </c>
      <c r="AV20" s="32" t="str">
        <f t="shared" si="18"/>
        <v>0</v>
      </c>
      <c r="AX20" s="59" t="str">
        <f t="shared" si="19"/>
        <v>.</v>
      </c>
      <c r="AY20" s="60" t="e">
        <f>VLOOKUP(AX20,Лист1!$BM:$BM,1,0)</f>
        <v>#N/A</v>
      </c>
      <c r="AZ20" s="49" t="e">
        <f t="shared" si="20"/>
        <v>#N/A</v>
      </c>
      <c r="BA20" s="32" t="str">
        <f t="shared" si="21"/>
        <v>0</v>
      </c>
      <c r="BC20" s="59" t="str">
        <f t="shared" si="22"/>
        <v>.</v>
      </c>
      <c r="BD20" s="60" t="e">
        <f>VLOOKUP(BC20,Лист1!$BQ:$BQ,1,0)</f>
        <v>#N/A</v>
      </c>
      <c r="BE20" s="49" t="e">
        <f t="shared" si="23"/>
        <v>#N/A</v>
      </c>
      <c r="BF20" s="32" t="str">
        <f t="shared" si="24"/>
        <v>0</v>
      </c>
      <c r="BH20" s="59" t="str">
        <f t="shared" si="25"/>
        <v>..</v>
      </c>
      <c r="BI20" s="60" t="e">
        <f>VLOOKUP(BH20,Лист1!$BU:$BU,1,0)</f>
        <v>#N/A</v>
      </c>
      <c r="BJ20" s="49" t="e">
        <f t="shared" si="26"/>
        <v>#N/A</v>
      </c>
      <c r="BK20" s="32" t="str">
        <f t="shared" si="27"/>
        <v>0</v>
      </c>
      <c r="BM20" s="59" t="str">
        <f t="shared" si="28"/>
        <v>..</v>
      </c>
      <c r="BN20" s="60" t="e">
        <f>VLOOKUP(BM20,Лист1!$BY:$BY,1,0)</f>
        <v>#N/A</v>
      </c>
      <c r="BO20" s="49" t="e">
        <f t="shared" si="29"/>
        <v>#N/A</v>
      </c>
      <c r="BP20" s="32" t="str">
        <f t="shared" si="30"/>
        <v>0</v>
      </c>
      <c r="BR20" s="59" t="str">
        <f t="shared" si="31"/>
        <v>...</v>
      </c>
      <c r="BS20" s="60" t="e">
        <f>VLOOKUP(BR20,Лист1!$CC:$CC,1,0)</f>
        <v>#N/A</v>
      </c>
      <c r="BT20" s="49" t="e">
        <f t="shared" si="32"/>
        <v>#N/A</v>
      </c>
      <c r="BU20" s="32" t="str">
        <f t="shared" si="33"/>
        <v>0</v>
      </c>
      <c r="BW20" s="59" t="str">
        <f t="shared" si="52"/>
        <v>...</v>
      </c>
      <c r="BX20" s="60" t="e">
        <f>VLOOKUP(BW20,Лист1!$CG:$CG,1,0)</f>
        <v>#N/A</v>
      </c>
      <c r="BY20" s="49" t="e">
        <f t="shared" si="34"/>
        <v>#N/A</v>
      </c>
      <c r="BZ20" s="32" t="str">
        <f t="shared" si="35"/>
        <v>0</v>
      </c>
      <c r="CB20" s="59" t="str">
        <f t="shared" si="36"/>
        <v>.</v>
      </c>
      <c r="CC20" s="60" t="e">
        <f>VLOOKUP(CB20,Лист1!$CK:$CK,1,0)</f>
        <v>#N/A</v>
      </c>
      <c r="CD20" s="49" t="e">
        <f t="shared" si="37"/>
        <v>#N/A</v>
      </c>
      <c r="CE20" s="32" t="str">
        <f t="shared" si="38"/>
        <v>0</v>
      </c>
      <c r="CG20" s="59" t="str">
        <f t="shared" si="39"/>
        <v>...</v>
      </c>
      <c r="CH20" s="60" t="e">
        <f>VLOOKUP(CG20,Лист1!$CO:$CO,1,0)</f>
        <v>#N/A</v>
      </c>
      <c r="CI20" s="49" t="e">
        <f t="shared" si="40"/>
        <v>#N/A</v>
      </c>
      <c r="CJ20" s="32" t="str">
        <f t="shared" si="41"/>
        <v>0</v>
      </c>
      <c r="CL20" s="59" t="str">
        <f t="shared" si="42"/>
        <v>.</v>
      </c>
      <c r="CM20" s="60" t="e">
        <f>VLOOKUP(CL20,Лист1!$CS:$CS,1,0)</f>
        <v>#N/A</v>
      </c>
      <c r="CN20" s="49" t="e">
        <f t="shared" si="43"/>
        <v>#N/A</v>
      </c>
      <c r="CO20" s="32" t="str">
        <f t="shared" si="44"/>
        <v>0</v>
      </c>
      <c r="CQ20" s="59" t="str">
        <f t="shared" si="45"/>
        <v>.</v>
      </c>
      <c r="CR20" s="60" t="e">
        <f>VLOOKUP(CQ20,Лист1!$CW:$CW,1,0)</f>
        <v>#N/A</v>
      </c>
      <c r="CS20" s="49" t="e">
        <f t="shared" si="46"/>
        <v>#N/A</v>
      </c>
      <c r="CT20" s="32" t="str">
        <f t="shared" si="47"/>
        <v>0</v>
      </c>
      <c r="CV20" s="60" t="e">
        <f>VLOOKUP(O20,Лист1!$CY:$DA,2,0)</f>
        <v>#N/A</v>
      </c>
      <c r="CW20" s="206">
        <f t="shared" si="48"/>
        <v>0</v>
      </c>
      <c r="CX20" s="60" t="e">
        <f>VLOOKUP(E20,Лист1!$CY:$DA,2,0)</f>
        <v>#N/A</v>
      </c>
      <c r="CY20" s="60" t="e">
        <f>VLOOKUP(G20,Лист1!$CY$58:$DA$69,2,0)</f>
        <v>#N/A</v>
      </c>
      <c r="CZ20" s="60" t="e">
        <f>VLOOKUP(G20,Лист1!$CY:$DA,2,0)</f>
        <v>#N/A</v>
      </c>
      <c r="DA20" s="60" t="e">
        <f>VLOOKUP(H20,Лист1!$CY:$DA,2,0)</f>
        <v>#N/A</v>
      </c>
      <c r="DB20" s="60">
        <f t="shared" si="49"/>
        <v>0</v>
      </c>
      <c r="DC20" s="60" t="e">
        <f>VLOOKUP(L20,Лист1!$CY:$DA,2,0)</f>
        <v>#N/A</v>
      </c>
      <c r="DD20" s="60" t="e">
        <f>VLOOKUP(CONCATENATE(L20,".",N20),Лист1!$CY:$DA,2,0)</f>
        <v>#N/A</v>
      </c>
      <c r="DE20" s="214" t="str">
        <f t="shared" si="50"/>
        <v/>
      </c>
      <c r="DG20" s="60" t="e">
        <f>VLOOKUP(Q20,Лист1!$CY:$DA,2,0)</f>
        <v>#N/A</v>
      </c>
      <c r="DH20" s="60" t="e">
        <f>VLOOKUP(G20,Лист1!$CY$58:$DA$69,3,0)</f>
        <v>#N/A</v>
      </c>
      <c r="DI20" s="60" t="e">
        <f>VLOOKUP(CONCATENATE(O20,".",CZ20),Лист1!$CY:$DA,2,0)</f>
        <v>#N/A</v>
      </c>
      <c r="DJ20" s="60" t="e">
        <f>VLOOKUP(H20,Лист1!$CY:$DA,2,0)</f>
        <v>#N/A</v>
      </c>
      <c r="DK20" s="60">
        <f t="shared" si="51"/>
        <v>0</v>
      </c>
      <c r="DL20" s="214" t="str">
        <f>IF(R20="","",VLOOKUP(Q20,Лист1!$CY:$DA,3,0)*R20)</f>
        <v/>
      </c>
    </row>
    <row r="21" spans="1:116" x14ac:dyDescent="0.25">
      <c r="A21" s="23" t="str">
        <f>CONCATENATE(C21,".",D21)</f>
        <v>.</v>
      </c>
      <c r="B21" s="70">
        <v>11</v>
      </c>
      <c r="C21" s="418"/>
      <c r="D21" s="419"/>
      <c r="E21" s="420"/>
      <c r="F21" s="418"/>
      <c r="G21" s="421"/>
      <c r="H21" s="418"/>
      <c r="I21" s="420"/>
      <c r="J21" s="418"/>
      <c r="K21" s="420"/>
      <c r="L21" s="418"/>
      <c r="M21" s="422"/>
      <c r="N21" s="423"/>
      <c r="O21" s="424"/>
      <c r="P21" s="424"/>
      <c r="Q21" s="424"/>
      <c r="R21" s="187"/>
      <c r="S21" s="104"/>
      <c r="T21" s="180" t="str">
        <f>IF(OR(W21="",W21="0"),"",W21)</f>
        <v/>
      </c>
      <c r="U21" s="189" t="str">
        <f>IF(R21="","",IF(NOT(AC21=0),"Ошибка в строке",""))</f>
        <v/>
      </c>
      <c r="W21" s="123" t="str">
        <f>IF(OR(ISNA(X21),NOT(AC21=0)),"0",X21)</f>
        <v>0</v>
      </c>
      <c r="X21" s="120" t="str">
        <f>IF(OR(R21="",R21=0),"",SUM(ORDER!H39:H41))</f>
        <v/>
      </c>
      <c r="Y21" s="60" t="str">
        <f t="shared" si="54"/>
        <v>..</v>
      </c>
      <c r="Z21" s="60" t="str">
        <f t="shared" si="53"/>
        <v>..</v>
      </c>
      <c r="AB21" s="31">
        <f>AG21+AL21+AQ21+AV21+BA21+BF21+BK21+BP21+BU21+BZ21+CE21+CJ21+CO21+CT21</f>
        <v>0</v>
      </c>
      <c r="AC21" s="68">
        <f t="shared" si="6"/>
        <v>14</v>
      </c>
      <c r="AD21" s="59" t="str">
        <f>CONCATENATE(C21,".",D21)</f>
        <v>.</v>
      </c>
      <c r="AE21" s="60" t="e">
        <f>VLOOKUP(AD21,Лист1!$AW:$AW,1,0)</f>
        <v>#N/A</v>
      </c>
      <c r="AF21" s="49" t="e">
        <f>IF(AD21=AE21,1,0)</f>
        <v>#N/A</v>
      </c>
      <c r="AG21" s="32" t="str">
        <f t="shared" si="9"/>
        <v>0</v>
      </c>
      <c r="AI21" s="59" t="str">
        <f>CONCATENATE(C21,".",D21,".",E21)</f>
        <v>..</v>
      </c>
      <c r="AJ21" s="60" t="e">
        <f>VLOOKUP(AI21,Лист1!$BA:$BA,1,0)</f>
        <v>#N/A</v>
      </c>
      <c r="AK21" s="49" t="e">
        <f>IF(AI21=AJ21,1,0)</f>
        <v>#N/A</v>
      </c>
      <c r="AL21" s="32" t="str">
        <f t="shared" si="12"/>
        <v>0</v>
      </c>
      <c r="AN21" s="59" t="str">
        <f>CONCATENATE(E21,".",F21,)</f>
        <v>.</v>
      </c>
      <c r="AO21" s="60" t="e">
        <f>VLOOKUP(AN21,Лист1!$BE:$BE,1,0)</f>
        <v>#N/A</v>
      </c>
      <c r="AP21" s="49" t="e">
        <f>IF(AN21=AO21,1,0)</f>
        <v>#N/A</v>
      </c>
      <c r="AQ21" s="32" t="str">
        <f t="shared" si="15"/>
        <v>0</v>
      </c>
      <c r="AS21" s="59" t="str">
        <f>CONCATENATE(F21,".",G21,)</f>
        <v>.</v>
      </c>
      <c r="AT21" s="60" t="e">
        <f>VLOOKUP(AS21,Лист1!$BI:$BI,1,0)</f>
        <v>#N/A</v>
      </c>
      <c r="AU21" s="49" t="e">
        <f>IF(AS21=AT21,1,0)</f>
        <v>#N/A</v>
      </c>
      <c r="AV21" s="32" t="str">
        <f t="shared" si="18"/>
        <v>0</v>
      </c>
      <c r="AX21" s="59" t="str">
        <f>CONCATENATE(C21,".",H21,)</f>
        <v>.</v>
      </c>
      <c r="AY21" s="60" t="e">
        <f>VLOOKUP(AX21,Лист1!$BM:$BM,1,0)</f>
        <v>#N/A</v>
      </c>
      <c r="AZ21" s="49" t="e">
        <f>IF(AX21=AY21,1,0)</f>
        <v>#N/A</v>
      </c>
      <c r="BA21" s="32" t="str">
        <f t="shared" si="21"/>
        <v>0</v>
      </c>
      <c r="BC21" s="59" t="str">
        <f>CONCATENATE(H21,".",I21,)</f>
        <v>.</v>
      </c>
      <c r="BD21" s="60" t="e">
        <f>VLOOKUP(BC21,Лист1!$BQ:$BQ,1,0)</f>
        <v>#N/A</v>
      </c>
      <c r="BE21" s="49" t="e">
        <f>IF(BC21=BD21,1,0)</f>
        <v>#N/A</v>
      </c>
      <c r="BF21" s="32" t="str">
        <f t="shared" si="24"/>
        <v>0</v>
      </c>
      <c r="BH21" s="59" t="str">
        <f>CONCATENATE(C21,".",D21,".",J21)</f>
        <v>..</v>
      </c>
      <c r="BI21" s="60" t="e">
        <f>VLOOKUP(BH21,Лист1!$BU:$BU,1,0)</f>
        <v>#N/A</v>
      </c>
      <c r="BJ21" s="49" t="e">
        <f>IF(BH21=BI21,1,0)</f>
        <v>#N/A</v>
      </c>
      <c r="BK21" s="32" t="str">
        <f t="shared" si="27"/>
        <v>0</v>
      </c>
      <c r="BM21" s="59" t="str">
        <f>CONCATENATE(C21,".",D21,".",K21)</f>
        <v>..</v>
      </c>
      <c r="BN21" s="60" t="e">
        <f>VLOOKUP(BM21,Лист1!$BY:$BY,1,0)</f>
        <v>#N/A</v>
      </c>
      <c r="BO21" s="49" t="e">
        <f>IF(BM21=BN21,1,0)</f>
        <v>#N/A</v>
      </c>
      <c r="BP21" s="32" t="str">
        <f t="shared" si="30"/>
        <v>0</v>
      </c>
      <c r="BR21" s="59" t="str">
        <f>CONCATENATE(C21,".",E21,".",F21,".",L21)</f>
        <v>...</v>
      </c>
      <c r="BS21" s="60" t="e">
        <f>VLOOKUP(BR21,Лист1!$CC:$CC,1,0)</f>
        <v>#N/A</v>
      </c>
      <c r="BT21" s="49" t="e">
        <f>IF(BR21=BS21,1,0)</f>
        <v>#N/A</v>
      </c>
      <c r="BU21" s="32" t="str">
        <f t="shared" si="33"/>
        <v>0</v>
      </c>
      <c r="BW21" s="59" t="str">
        <f t="shared" si="52"/>
        <v>...</v>
      </c>
      <c r="BX21" s="60" t="e">
        <f>VLOOKUP(BW21,Лист1!$CG:$CG,1,0)</f>
        <v>#N/A</v>
      </c>
      <c r="BY21" s="49" t="e">
        <f>IF(BW21=BX21,1,0)</f>
        <v>#N/A</v>
      </c>
      <c r="BZ21" s="32" t="str">
        <f t="shared" si="35"/>
        <v>0</v>
      </c>
      <c r="CB21" s="59" t="str">
        <f>CONCATENATE(L21,".",N21)</f>
        <v>.</v>
      </c>
      <c r="CC21" s="60" t="e">
        <f>VLOOKUP(CB21,Лист1!$CK:$CK,1,0)</f>
        <v>#N/A</v>
      </c>
      <c r="CD21" s="49" t="e">
        <f>IF(CB21=CC21,1,0)</f>
        <v>#N/A</v>
      </c>
      <c r="CE21" s="32" t="str">
        <f t="shared" si="38"/>
        <v>0</v>
      </c>
      <c r="CG21" s="59" t="str">
        <f t="shared" si="39"/>
        <v>...</v>
      </c>
      <c r="CH21" s="60" t="e">
        <f>VLOOKUP(CG21,Лист1!$CO:$CO,1,0)</f>
        <v>#N/A</v>
      </c>
      <c r="CI21" s="49" t="e">
        <f>IF(CG21=CH21,1,0)</f>
        <v>#N/A</v>
      </c>
      <c r="CJ21" s="32" t="str">
        <f t="shared" si="41"/>
        <v>0</v>
      </c>
      <c r="CL21" s="59" t="str">
        <f>CONCATENATE(O21,".",P21)</f>
        <v>.</v>
      </c>
      <c r="CM21" s="60" t="e">
        <f>VLOOKUP(CL21,Лист1!$CS:$CS,1,0)</f>
        <v>#N/A</v>
      </c>
      <c r="CN21" s="49" t="e">
        <f>IF(CL21=CM21,1,0)</f>
        <v>#N/A</v>
      </c>
      <c r="CO21" s="32" t="str">
        <f t="shared" si="44"/>
        <v>0</v>
      </c>
      <c r="CQ21" s="59" t="str">
        <f>CONCATENATE(O21,".",Q21)</f>
        <v>.</v>
      </c>
      <c r="CR21" s="60" t="e">
        <f>VLOOKUP(CQ21,Лист1!$CW:$CW,1,0)</f>
        <v>#N/A</v>
      </c>
      <c r="CS21" s="49" t="e">
        <f>IF(CQ21=CR21,1,0)</f>
        <v>#N/A</v>
      </c>
      <c r="CT21" s="32" t="str">
        <f t="shared" si="47"/>
        <v>0</v>
      </c>
      <c r="CV21" s="60" t="e">
        <f>VLOOKUP(O21,Лист1!$CY:$DA,2,0)</f>
        <v>#N/A</v>
      </c>
      <c r="CW21" s="206">
        <f>P21</f>
        <v>0</v>
      </c>
      <c r="CX21" s="60" t="e">
        <f>VLOOKUP(E21,Лист1!$CY:$DA,2,0)</f>
        <v>#N/A</v>
      </c>
      <c r="CY21" s="60" t="e">
        <f>VLOOKUP(G21,Лист1!$CY$58:$DA$69,2,0)</f>
        <v>#N/A</v>
      </c>
      <c r="CZ21" s="60" t="e">
        <f>VLOOKUP(G21,Лист1!$CY:$DA,2,0)</f>
        <v>#N/A</v>
      </c>
      <c r="DA21" s="60" t="e">
        <f>VLOOKUP(H21,Лист1!$CY:$DA,2,0)</f>
        <v>#N/A</v>
      </c>
      <c r="DB21" s="60">
        <f>I21</f>
        <v>0</v>
      </c>
      <c r="DC21" s="60" t="e">
        <f>VLOOKUP(L21,Лист1!$CY:$DA,2,0)</f>
        <v>#N/A</v>
      </c>
      <c r="DD21" s="60" t="e">
        <f>VLOOKUP(CONCATENATE(L21,".",N21),Лист1!$CY:$DA,2,0)</f>
        <v>#N/A</v>
      </c>
      <c r="DE21" s="214" t="str">
        <f t="shared" si="50"/>
        <v/>
      </c>
      <c r="DG21" s="60" t="e">
        <f>VLOOKUP(Q21,Лист1!$CY:$DA,2,0)</f>
        <v>#N/A</v>
      </c>
      <c r="DH21" s="60" t="e">
        <f>VLOOKUP(G21,Лист1!$CY$58:$DA$69,3,0)</f>
        <v>#N/A</v>
      </c>
      <c r="DI21" s="60" t="e">
        <f>VLOOKUP(CONCATENATE(O21,".",CZ21),Лист1!$CY:$DA,2,0)</f>
        <v>#N/A</v>
      </c>
      <c r="DJ21" s="60" t="e">
        <f>VLOOKUP(H21,Лист1!$CY:$DA,2,0)</f>
        <v>#N/A</v>
      </c>
      <c r="DK21" s="60">
        <f>I21</f>
        <v>0</v>
      </c>
      <c r="DL21" s="214" t="str">
        <f>IF(R21="","",VLOOKUP(Q21,Лист1!$CY:$DA,3,0)*R21)</f>
        <v/>
      </c>
    </row>
    <row r="22" spans="1:116" x14ac:dyDescent="0.25">
      <c r="A22" s="23" t="str">
        <f t="shared" si="1"/>
        <v>.</v>
      </c>
      <c r="B22" s="70">
        <v>12</v>
      </c>
      <c r="C22" s="418"/>
      <c r="D22" s="419"/>
      <c r="E22" s="420"/>
      <c r="F22" s="418"/>
      <c r="G22" s="421"/>
      <c r="H22" s="418"/>
      <c r="I22" s="420"/>
      <c r="J22" s="418"/>
      <c r="K22" s="420"/>
      <c r="L22" s="418"/>
      <c r="M22" s="422"/>
      <c r="N22" s="423"/>
      <c r="O22" s="424"/>
      <c r="P22" s="424"/>
      <c r="Q22" s="424"/>
      <c r="R22" s="187"/>
      <c r="S22" s="104"/>
      <c r="T22" s="180" t="str">
        <f t="shared" si="2"/>
        <v/>
      </c>
      <c r="U22" s="189" t="str">
        <f t="shared" si="0"/>
        <v/>
      </c>
      <c r="W22" s="123" t="str">
        <f t="shared" si="3"/>
        <v>0</v>
      </c>
      <c r="X22" s="120" t="str">
        <f>IF(OR(R22="",R22=0),"",SUM(ORDER!H42:H44))</f>
        <v/>
      </c>
      <c r="Y22" s="60" t="str">
        <f t="shared" si="54"/>
        <v>..</v>
      </c>
      <c r="Z22" s="60" t="str">
        <f t="shared" si="53"/>
        <v>..</v>
      </c>
      <c r="AB22" s="31">
        <f t="shared" si="5"/>
        <v>0</v>
      </c>
      <c r="AC22" s="68">
        <f t="shared" si="6"/>
        <v>14</v>
      </c>
      <c r="AD22" s="59" t="str">
        <f t="shared" si="7"/>
        <v>.</v>
      </c>
      <c r="AE22" s="60" t="e">
        <f>VLOOKUP(AD22,Лист1!$AW:$AW,1,0)</f>
        <v>#N/A</v>
      </c>
      <c r="AF22" s="49" t="e">
        <f t="shared" si="8"/>
        <v>#N/A</v>
      </c>
      <c r="AG22" s="32" t="str">
        <f t="shared" si="9"/>
        <v>0</v>
      </c>
      <c r="AI22" s="59" t="str">
        <f t="shared" si="10"/>
        <v>..</v>
      </c>
      <c r="AJ22" s="60" t="e">
        <f>VLOOKUP(AI22,Лист1!$BA:$BA,1,0)</f>
        <v>#N/A</v>
      </c>
      <c r="AK22" s="49" t="e">
        <f t="shared" si="11"/>
        <v>#N/A</v>
      </c>
      <c r="AL22" s="32" t="str">
        <f t="shared" si="12"/>
        <v>0</v>
      </c>
      <c r="AN22" s="59" t="str">
        <f t="shared" si="13"/>
        <v>.</v>
      </c>
      <c r="AO22" s="60" t="e">
        <f>VLOOKUP(AN22,Лист1!$BE:$BE,1,0)</f>
        <v>#N/A</v>
      </c>
      <c r="AP22" s="49" t="e">
        <f t="shared" si="14"/>
        <v>#N/A</v>
      </c>
      <c r="AQ22" s="32" t="str">
        <f t="shared" si="15"/>
        <v>0</v>
      </c>
      <c r="AS22" s="59" t="str">
        <f t="shared" si="16"/>
        <v>.</v>
      </c>
      <c r="AT22" s="60" t="e">
        <f>VLOOKUP(AS22,Лист1!$BI:$BI,1,0)</f>
        <v>#N/A</v>
      </c>
      <c r="AU22" s="49" t="e">
        <f t="shared" si="17"/>
        <v>#N/A</v>
      </c>
      <c r="AV22" s="32" t="str">
        <f t="shared" si="18"/>
        <v>0</v>
      </c>
      <c r="AX22" s="59" t="str">
        <f t="shared" si="19"/>
        <v>.</v>
      </c>
      <c r="AY22" s="60" t="e">
        <f>VLOOKUP(AX22,Лист1!$BM:$BM,1,0)</f>
        <v>#N/A</v>
      </c>
      <c r="AZ22" s="49" t="e">
        <f t="shared" si="20"/>
        <v>#N/A</v>
      </c>
      <c r="BA22" s="32" t="str">
        <f t="shared" si="21"/>
        <v>0</v>
      </c>
      <c r="BC22" s="59" t="str">
        <f t="shared" si="22"/>
        <v>.</v>
      </c>
      <c r="BD22" s="60" t="e">
        <f>VLOOKUP(BC22,Лист1!$BQ:$BQ,1,0)</f>
        <v>#N/A</v>
      </c>
      <c r="BE22" s="49" t="e">
        <f t="shared" si="23"/>
        <v>#N/A</v>
      </c>
      <c r="BF22" s="32" t="str">
        <f t="shared" si="24"/>
        <v>0</v>
      </c>
      <c r="BH22" s="59" t="str">
        <f t="shared" si="25"/>
        <v>..</v>
      </c>
      <c r="BI22" s="60" t="e">
        <f>VLOOKUP(BH22,Лист1!$BU:$BU,1,0)</f>
        <v>#N/A</v>
      </c>
      <c r="BJ22" s="49" t="e">
        <f t="shared" si="26"/>
        <v>#N/A</v>
      </c>
      <c r="BK22" s="32" t="str">
        <f t="shared" si="27"/>
        <v>0</v>
      </c>
      <c r="BM22" s="59" t="str">
        <f t="shared" si="28"/>
        <v>..</v>
      </c>
      <c r="BN22" s="60" t="e">
        <f>VLOOKUP(BM22,Лист1!$BY:$BY,1,0)</f>
        <v>#N/A</v>
      </c>
      <c r="BO22" s="49" t="e">
        <f t="shared" si="29"/>
        <v>#N/A</v>
      </c>
      <c r="BP22" s="32" t="str">
        <f t="shared" si="30"/>
        <v>0</v>
      </c>
      <c r="BR22" s="59" t="str">
        <f t="shared" si="31"/>
        <v>...</v>
      </c>
      <c r="BS22" s="60" t="e">
        <f>VLOOKUP(BR22,Лист1!$CC:$CC,1,0)</f>
        <v>#N/A</v>
      </c>
      <c r="BT22" s="49" t="e">
        <f t="shared" si="32"/>
        <v>#N/A</v>
      </c>
      <c r="BU22" s="32" t="str">
        <f t="shared" si="33"/>
        <v>0</v>
      </c>
      <c r="BW22" s="59" t="str">
        <f t="shared" si="52"/>
        <v>...</v>
      </c>
      <c r="BX22" s="60" t="e">
        <f>VLOOKUP(BW22,Лист1!$CG:$CG,1,0)</f>
        <v>#N/A</v>
      </c>
      <c r="BY22" s="49" t="e">
        <f t="shared" si="34"/>
        <v>#N/A</v>
      </c>
      <c r="BZ22" s="32" t="str">
        <f t="shared" si="35"/>
        <v>0</v>
      </c>
      <c r="CB22" s="59" t="str">
        <f t="shared" si="36"/>
        <v>.</v>
      </c>
      <c r="CC22" s="60" t="e">
        <f>VLOOKUP(CB22,Лист1!$CK:$CK,1,0)</f>
        <v>#N/A</v>
      </c>
      <c r="CD22" s="49" t="e">
        <f t="shared" si="37"/>
        <v>#N/A</v>
      </c>
      <c r="CE22" s="32" t="str">
        <f t="shared" si="38"/>
        <v>0</v>
      </c>
      <c r="CG22" s="59" t="str">
        <f t="shared" si="39"/>
        <v>...</v>
      </c>
      <c r="CH22" s="60" t="e">
        <f>VLOOKUP(CG22,Лист1!$CO:$CO,1,0)</f>
        <v>#N/A</v>
      </c>
      <c r="CI22" s="49" t="e">
        <f t="shared" si="40"/>
        <v>#N/A</v>
      </c>
      <c r="CJ22" s="32" t="str">
        <f t="shared" si="41"/>
        <v>0</v>
      </c>
      <c r="CL22" s="59" t="str">
        <f t="shared" si="42"/>
        <v>.</v>
      </c>
      <c r="CM22" s="60" t="e">
        <f>VLOOKUP(CL22,Лист1!$CS:$CS,1,0)</f>
        <v>#N/A</v>
      </c>
      <c r="CN22" s="49" t="e">
        <f t="shared" si="43"/>
        <v>#N/A</v>
      </c>
      <c r="CO22" s="32" t="str">
        <f t="shared" si="44"/>
        <v>0</v>
      </c>
      <c r="CQ22" s="59" t="str">
        <f t="shared" si="45"/>
        <v>.</v>
      </c>
      <c r="CR22" s="60" t="e">
        <f>VLOOKUP(CQ22,Лист1!$CW:$CW,1,0)</f>
        <v>#N/A</v>
      </c>
      <c r="CS22" s="49" t="e">
        <f t="shared" si="46"/>
        <v>#N/A</v>
      </c>
      <c r="CT22" s="32" t="str">
        <f t="shared" si="47"/>
        <v>0</v>
      </c>
      <c r="CV22" s="60" t="e">
        <f>VLOOKUP(O22,Лист1!$CY:$DA,2,0)</f>
        <v>#N/A</v>
      </c>
      <c r="CW22" s="206">
        <f t="shared" si="48"/>
        <v>0</v>
      </c>
      <c r="CX22" s="60" t="e">
        <f>VLOOKUP(E22,Лист1!$CY:$DA,2,0)</f>
        <v>#N/A</v>
      </c>
      <c r="CY22" s="60" t="e">
        <f>VLOOKUP(G22,Лист1!$CY$58:$DA$69,2,0)</f>
        <v>#N/A</v>
      </c>
      <c r="CZ22" s="60" t="e">
        <f>VLOOKUP(G22,Лист1!$CY:$DA,2,0)</f>
        <v>#N/A</v>
      </c>
      <c r="DA22" s="60" t="e">
        <f>VLOOKUP(H22,Лист1!$CY:$DA,2,0)</f>
        <v>#N/A</v>
      </c>
      <c r="DB22" s="60">
        <f t="shared" si="49"/>
        <v>0</v>
      </c>
      <c r="DC22" s="60" t="e">
        <f>VLOOKUP(L22,Лист1!$CY:$DA,2,0)</f>
        <v>#N/A</v>
      </c>
      <c r="DD22" s="60" t="e">
        <f>VLOOKUP(CONCATENATE(L22,".",N22),Лист1!$CY:$DA,2,0)</f>
        <v>#N/A</v>
      </c>
      <c r="DE22" s="214" t="str">
        <f t="shared" si="50"/>
        <v/>
      </c>
      <c r="DG22" s="60" t="e">
        <f>VLOOKUP(Q22,Лист1!$CY:$DA,2,0)</f>
        <v>#N/A</v>
      </c>
      <c r="DH22" s="60" t="e">
        <f>VLOOKUP(G22,Лист1!$CY$58:$DA$69,3,0)</f>
        <v>#N/A</v>
      </c>
      <c r="DI22" s="60" t="e">
        <f>VLOOKUP(CONCATENATE(O22,".",CZ22),Лист1!$CY:$DA,2,0)</f>
        <v>#N/A</v>
      </c>
      <c r="DJ22" s="60" t="e">
        <f>VLOOKUP(H22,Лист1!$CY:$DA,2,0)</f>
        <v>#N/A</v>
      </c>
      <c r="DK22" s="60">
        <f t="shared" si="51"/>
        <v>0</v>
      </c>
      <c r="DL22" s="214" t="str">
        <f>IF(R22="","",VLOOKUP(Q22,Лист1!$CY:$DA,3,0)*R22)</f>
        <v/>
      </c>
    </row>
    <row r="23" spans="1:116" x14ac:dyDescent="0.25">
      <c r="A23" s="23" t="str">
        <f>CONCATENATE(C23,".",D23)</f>
        <v>.</v>
      </c>
      <c r="B23" s="70">
        <v>13</v>
      </c>
      <c r="C23" s="418"/>
      <c r="D23" s="419"/>
      <c r="E23" s="420"/>
      <c r="F23" s="418"/>
      <c r="G23" s="421"/>
      <c r="H23" s="418"/>
      <c r="I23" s="420"/>
      <c r="J23" s="418"/>
      <c r="K23" s="420"/>
      <c r="L23" s="418"/>
      <c r="M23" s="422"/>
      <c r="N23" s="423"/>
      <c r="O23" s="424"/>
      <c r="P23" s="424"/>
      <c r="Q23" s="424"/>
      <c r="R23" s="187"/>
      <c r="S23" s="104"/>
      <c r="T23" s="180" t="str">
        <f>IF(OR(W23="",W23="0"),"",W23)</f>
        <v/>
      </c>
      <c r="U23" s="189" t="str">
        <f>IF(R23="","",IF(NOT(AC23=0),"Ошибка в строке",""))</f>
        <v/>
      </c>
      <c r="W23" s="123" t="str">
        <f>IF(OR(ISNA(X23),NOT(AC23=0)),"0",X23)</f>
        <v>0</v>
      </c>
      <c r="X23" s="120" t="str">
        <f>IF(OR(R23="",R23=0),"",SUM(ORDER!H45:H47))</f>
        <v/>
      </c>
      <c r="Y23" s="60" t="str">
        <f t="shared" si="54"/>
        <v>..</v>
      </c>
      <c r="Z23" s="60" t="str">
        <f t="shared" si="53"/>
        <v>..</v>
      </c>
      <c r="AB23" s="31">
        <f>AG23+AL23+AQ23+AV23+BA23+BF23+BK23+BP23+BU23+BZ23+CE23+CJ23+CO23+CT23</f>
        <v>0</v>
      </c>
      <c r="AC23" s="68">
        <f t="shared" si="6"/>
        <v>14</v>
      </c>
      <c r="AD23" s="59" t="str">
        <f>CONCATENATE(C23,".",D23)</f>
        <v>.</v>
      </c>
      <c r="AE23" s="60" t="e">
        <f>VLOOKUP(AD23,Лист1!$AW:$AW,1,0)</f>
        <v>#N/A</v>
      </c>
      <c r="AF23" s="49" t="e">
        <f>IF(AD23=AE23,1,0)</f>
        <v>#N/A</v>
      </c>
      <c r="AG23" s="32" t="str">
        <f t="shared" si="9"/>
        <v>0</v>
      </c>
      <c r="AI23" s="59" t="str">
        <f>CONCATENATE(C23,".",D23,".",E23)</f>
        <v>..</v>
      </c>
      <c r="AJ23" s="60" t="e">
        <f>VLOOKUP(AI23,Лист1!$BA:$BA,1,0)</f>
        <v>#N/A</v>
      </c>
      <c r="AK23" s="49" t="e">
        <f>IF(AI23=AJ23,1,0)</f>
        <v>#N/A</v>
      </c>
      <c r="AL23" s="32" t="str">
        <f t="shared" si="12"/>
        <v>0</v>
      </c>
      <c r="AN23" s="59" t="str">
        <f>CONCATENATE(E23,".",F23,)</f>
        <v>.</v>
      </c>
      <c r="AO23" s="60" t="e">
        <f>VLOOKUP(AN23,Лист1!$BE:$BE,1,0)</f>
        <v>#N/A</v>
      </c>
      <c r="AP23" s="49" t="e">
        <f>IF(AN23=AO23,1,0)</f>
        <v>#N/A</v>
      </c>
      <c r="AQ23" s="32" t="str">
        <f t="shared" si="15"/>
        <v>0</v>
      </c>
      <c r="AS23" s="59" t="str">
        <f>CONCATENATE(F23,".",G23,)</f>
        <v>.</v>
      </c>
      <c r="AT23" s="60" t="e">
        <f>VLOOKUP(AS23,Лист1!$BI:$BI,1,0)</f>
        <v>#N/A</v>
      </c>
      <c r="AU23" s="49" t="e">
        <f>IF(AS23=AT23,1,0)</f>
        <v>#N/A</v>
      </c>
      <c r="AV23" s="32" t="str">
        <f t="shared" si="18"/>
        <v>0</v>
      </c>
      <c r="AX23" s="59" t="str">
        <f>CONCATENATE(C23,".",H23,)</f>
        <v>.</v>
      </c>
      <c r="AY23" s="60" t="e">
        <f>VLOOKUP(AX23,Лист1!$BM:$BM,1,0)</f>
        <v>#N/A</v>
      </c>
      <c r="AZ23" s="49" t="e">
        <f>IF(AX23=AY23,1,0)</f>
        <v>#N/A</v>
      </c>
      <c r="BA23" s="32" t="str">
        <f t="shared" si="21"/>
        <v>0</v>
      </c>
      <c r="BC23" s="59" t="str">
        <f>CONCATENATE(H23,".",I23,)</f>
        <v>.</v>
      </c>
      <c r="BD23" s="60" t="e">
        <f>VLOOKUP(BC23,Лист1!$BQ:$BQ,1,0)</f>
        <v>#N/A</v>
      </c>
      <c r="BE23" s="49" t="e">
        <f>IF(BC23=BD23,1,0)</f>
        <v>#N/A</v>
      </c>
      <c r="BF23" s="32" t="str">
        <f t="shared" si="24"/>
        <v>0</v>
      </c>
      <c r="BH23" s="59" t="str">
        <f>CONCATENATE(C23,".",D23,".",J23)</f>
        <v>..</v>
      </c>
      <c r="BI23" s="60" t="e">
        <f>VLOOKUP(BH23,Лист1!$BU:$BU,1,0)</f>
        <v>#N/A</v>
      </c>
      <c r="BJ23" s="49" t="e">
        <f>IF(BH23=BI23,1,0)</f>
        <v>#N/A</v>
      </c>
      <c r="BK23" s="32" t="str">
        <f t="shared" si="27"/>
        <v>0</v>
      </c>
      <c r="BM23" s="59" t="str">
        <f>CONCATENATE(C23,".",D23,".",K23)</f>
        <v>..</v>
      </c>
      <c r="BN23" s="60" t="e">
        <f>VLOOKUP(BM23,Лист1!$BY:$BY,1,0)</f>
        <v>#N/A</v>
      </c>
      <c r="BO23" s="49" t="e">
        <f>IF(BM23=BN23,1,0)</f>
        <v>#N/A</v>
      </c>
      <c r="BP23" s="32" t="str">
        <f t="shared" si="30"/>
        <v>0</v>
      </c>
      <c r="BR23" s="59" t="str">
        <f>CONCATENATE(C23,".",E23,".",F23,".",L23)</f>
        <v>...</v>
      </c>
      <c r="BS23" s="60" t="e">
        <f>VLOOKUP(BR23,Лист1!$CC:$CC,1,0)</f>
        <v>#N/A</v>
      </c>
      <c r="BT23" s="49" t="e">
        <f>IF(BR23=BS23,1,0)</f>
        <v>#N/A</v>
      </c>
      <c r="BU23" s="32" t="str">
        <f t="shared" si="33"/>
        <v>0</v>
      </c>
      <c r="BW23" s="59" t="str">
        <f t="shared" si="52"/>
        <v>...</v>
      </c>
      <c r="BX23" s="60" t="e">
        <f>VLOOKUP(BW23,Лист1!$CG:$CG,1,0)</f>
        <v>#N/A</v>
      </c>
      <c r="BY23" s="49" t="e">
        <f>IF(BW23=BX23,1,0)</f>
        <v>#N/A</v>
      </c>
      <c r="BZ23" s="32" t="str">
        <f t="shared" si="35"/>
        <v>0</v>
      </c>
      <c r="CB23" s="59" t="str">
        <f>CONCATENATE(L23,".",N23)</f>
        <v>.</v>
      </c>
      <c r="CC23" s="60" t="e">
        <f>VLOOKUP(CB23,Лист1!$CK:$CK,1,0)</f>
        <v>#N/A</v>
      </c>
      <c r="CD23" s="49" t="e">
        <f>IF(CB23=CC23,1,0)</f>
        <v>#N/A</v>
      </c>
      <c r="CE23" s="32" t="str">
        <f t="shared" si="38"/>
        <v>0</v>
      </c>
      <c r="CG23" s="59" t="str">
        <f t="shared" si="39"/>
        <v>...</v>
      </c>
      <c r="CH23" s="60" t="e">
        <f>VLOOKUP(CG23,Лист1!$CO:$CO,1,0)</f>
        <v>#N/A</v>
      </c>
      <c r="CI23" s="49" t="e">
        <f>IF(CG23=CH23,1,0)</f>
        <v>#N/A</v>
      </c>
      <c r="CJ23" s="32" t="str">
        <f t="shared" si="41"/>
        <v>0</v>
      </c>
      <c r="CL23" s="59" t="str">
        <f>CONCATENATE(O23,".",P23)</f>
        <v>.</v>
      </c>
      <c r="CM23" s="60" t="e">
        <f>VLOOKUP(CL23,Лист1!$CS:$CS,1,0)</f>
        <v>#N/A</v>
      </c>
      <c r="CN23" s="49" t="e">
        <f>IF(CL23=CM23,1,0)</f>
        <v>#N/A</v>
      </c>
      <c r="CO23" s="32" t="str">
        <f t="shared" si="44"/>
        <v>0</v>
      </c>
      <c r="CQ23" s="59" t="str">
        <f>CONCATENATE(O23,".",Q23)</f>
        <v>.</v>
      </c>
      <c r="CR23" s="60" t="e">
        <f>VLOOKUP(CQ23,Лист1!$CW:$CW,1,0)</f>
        <v>#N/A</v>
      </c>
      <c r="CS23" s="49" t="e">
        <f>IF(CQ23=CR23,1,0)</f>
        <v>#N/A</v>
      </c>
      <c r="CT23" s="32" t="str">
        <f t="shared" si="47"/>
        <v>0</v>
      </c>
      <c r="CV23" s="60" t="e">
        <f>VLOOKUP(O23,Лист1!$CY:$DA,2,0)</f>
        <v>#N/A</v>
      </c>
      <c r="CW23" s="206">
        <f>P23</f>
        <v>0</v>
      </c>
      <c r="CX23" s="60" t="e">
        <f>VLOOKUP(E23,Лист1!$CY:$DA,2,0)</f>
        <v>#N/A</v>
      </c>
      <c r="CY23" s="60" t="e">
        <f>VLOOKUP(G23,Лист1!$CY$58:$DA$69,2,0)</f>
        <v>#N/A</v>
      </c>
      <c r="CZ23" s="60" t="e">
        <f>VLOOKUP(G23,Лист1!$CY:$DA,2,0)</f>
        <v>#N/A</v>
      </c>
      <c r="DA23" s="60" t="e">
        <f>VLOOKUP(H23,Лист1!$CY:$DA,2,0)</f>
        <v>#N/A</v>
      </c>
      <c r="DB23" s="60">
        <f>I23</f>
        <v>0</v>
      </c>
      <c r="DC23" s="60" t="e">
        <f>VLOOKUP(L23,Лист1!$CY:$DA,2,0)</f>
        <v>#N/A</v>
      </c>
      <c r="DD23" s="60" t="e">
        <f>VLOOKUP(CONCATENATE(L23,".",N23),Лист1!$CY:$DA,2,0)</f>
        <v>#N/A</v>
      </c>
      <c r="DE23" s="214" t="str">
        <f t="shared" si="50"/>
        <v/>
      </c>
      <c r="DG23" s="60" t="e">
        <f>VLOOKUP(Q23,Лист1!$CY:$DA,2,0)</f>
        <v>#N/A</v>
      </c>
      <c r="DH23" s="60" t="e">
        <f>VLOOKUP(G23,Лист1!$CY$58:$DA$69,3,0)</f>
        <v>#N/A</v>
      </c>
      <c r="DI23" s="60" t="e">
        <f>VLOOKUP(CONCATENATE(O23,".",CZ23),Лист1!$CY:$DA,2,0)</f>
        <v>#N/A</v>
      </c>
      <c r="DJ23" s="60" t="e">
        <f>VLOOKUP(H23,Лист1!$CY:$DA,2,0)</f>
        <v>#N/A</v>
      </c>
      <c r="DK23" s="60">
        <f>I23</f>
        <v>0</v>
      </c>
      <c r="DL23" s="214" t="str">
        <f>IF(R23="","",VLOOKUP(Q23,Лист1!$CY:$DA,3,0)*R23)</f>
        <v/>
      </c>
    </row>
    <row r="24" spans="1:116" x14ac:dyDescent="0.25">
      <c r="A24" s="23" t="str">
        <f t="shared" si="1"/>
        <v>.</v>
      </c>
      <c r="B24" s="70">
        <v>14</v>
      </c>
      <c r="C24" s="418"/>
      <c r="D24" s="419"/>
      <c r="E24" s="420"/>
      <c r="F24" s="418"/>
      <c r="G24" s="421"/>
      <c r="H24" s="418"/>
      <c r="I24" s="420"/>
      <c r="J24" s="418"/>
      <c r="K24" s="420"/>
      <c r="L24" s="418"/>
      <c r="M24" s="422"/>
      <c r="N24" s="423"/>
      <c r="O24" s="424"/>
      <c r="P24" s="424"/>
      <c r="Q24" s="424"/>
      <c r="R24" s="187"/>
      <c r="S24" s="104"/>
      <c r="T24" s="180" t="str">
        <f t="shared" si="2"/>
        <v/>
      </c>
      <c r="U24" s="189" t="str">
        <f t="shared" si="0"/>
        <v/>
      </c>
      <c r="W24" s="123" t="str">
        <f t="shared" si="3"/>
        <v>0</v>
      </c>
      <c r="X24" s="120" t="str">
        <f>IF(OR(R24="",R24=0),"",SUM(ORDER!H48:H50))</f>
        <v/>
      </c>
      <c r="Y24" s="60" t="str">
        <f t="shared" si="4"/>
        <v>..</v>
      </c>
      <c r="Z24" s="60" t="str">
        <f t="shared" si="53"/>
        <v>..</v>
      </c>
      <c r="AB24" s="31">
        <f t="shared" si="5"/>
        <v>0</v>
      </c>
      <c r="AC24" s="68">
        <f t="shared" si="6"/>
        <v>14</v>
      </c>
      <c r="AD24" s="59" t="str">
        <f t="shared" si="7"/>
        <v>.</v>
      </c>
      <c r="AE24" s="60" t="e">
        <f>VLOOKUP(AD24,Лист1!$AW:$AW,1,0)</f>
        <v>#N/A</v>
      </c>
      <c r="AF24" s="49" t="e">
        <f t="shared" si="8"/>
        <v>#N/A</v>
      </c>
      <c r="AG24" s="32" t="str">
        <f t="shared" si="9"/>
        <v>0</v>
      </c>
      <c r="AI24" s="59" t="str">
        <f t="shared" si="10"/>
        <v>..</v>
      </c>
      <c r="AJ24" s="60" t="e">
        <f>VLOOKUP(AI24,Лист1!$BA:$BA,1,0)</f>
        <v>#N/A</v>
      </c>
      <c r="AK24" s="49" t="e">
        <f t="shared" si="11"/>
        <v>#N/A</v>
      </c>
      <c r="AL24" s="32" t="str">
        <f t="shared" si="12"/>
        <v>0</v>
      </c>
      <c r="AN24" s="59" t="str">
        <f t="shared" si="13"/>
        <v>.</v>
      </c>
      <c r="AO24" s="60" t="e">
        <f>VLOOKUP(AN24,Лист1!$BE:$BE,1,0)</f>
        <v>#N/A</v>
      </c>
      <c r="AP24" s="49" t="e">
        <f t="shared" si="14"/>
        <v>#N/A</v>
      </c>
      <c r="AQ24" s="32" t="str">
        <f t="shared" si="15"/>
        <v>0</v>
      </c>
      <c r="AS24" s="59" t="str">
        <f t="shared" si="16"/>
        <v>.</v>
      </c>
      <c r="AT24" s="60" t="e">
        <f>VLOOKUP(AS24,Лист1!$BI:$BI,1,0)</f>
        <v>#N/A</v>
      </c>
      <c r="AU24" s="49" t="e">
        <f t="shared" si="17"/>
        <v>#N/A</v>
      </c>
      <c r="AV24" s="32" t="str">
        <f t="shared" si="18"/>
        <v>0</v>
      </c>
      <c r="AX24" s="59" t="str">
        <f t="shared" si="19"/>
        <v>.</v>
      </c>
      <c r="AY24" s="60" t="e">
        <f>VLOOKUP(AX24,Лист1!$BM:$BM,1,0)</f>
        <v>#N/A</v>
      </c>
      <c r="AZ24" s="49" t="e">
        <f t="shared" si="20"/>
        <v>#N/A</v>
      </c>
      <c r="BA24" s="32" t="str">
        <f t="shared" si="21"/>
        <v>0</v>
      </c>
      <c r="BC24" s="59" t="str">
        <f t="shared" si="22"/>
        <v>.</v>
      </c>
      <c r="BD24" s="60" t="e">
        <f>VLOOKUP(BC24,Лист1!$BQ:$BQ,1,0)</f>
        <v>#N/A</v>
      </c>
      <c r="BE24" s="49" t="e">
        <f t="shared" si="23"/>
        <v>#N/A</v>
      </c>
      <c r="BF24" s="32" t="str">
        <f t="shared" si="24"/>
        <v>0</v>
      </c>
      <c r="BH24" s="59" t="str">
        <f t="shared" si="25"/>
        <v>..</v>
      </c>
      <c r="BI24" s="60" t="e">
        <f>VLOOKUP(BH24,Лист1!$BU:$BU,1,0)</f>
        <v>#N/A</v>
      </c>
      <c r="BJ24" s="49" t="e">
        <f t="shared" si="26"/>
        <v>#N/A</v>
      </c>
      <c r="BK24" s="32" t="str">
        <f t="shared" si="27"/>
        <v>0</v>
      </c>
      <c r="BM24" s="59" t="str">
        <f t="shared" si="28"/>
        <v>..</v>
      </c>
      <c r="BN24" s="60" t="e">
        <f>VLOOKUP(BM24,Лист1!$BY:$BY,1,0)</f>
        <v>#N/A</v>
      </c>
      <c r="BO24" s="49" t="e">
        <f t="shared" si="29"/>
        <v>#N/A</v>
      </c>
      <c r="BP24" s="32" t="str">
        <f t="shared" si="30"/>
        <v>0</v>
      </c>
      <c r="BR24" s="59" t="str">
        <f t="shared" si="31"/>
        <v>...</v>
      </c>
      <c r="BS24" s="60" t="e">
        <f>VLOOKUP(BR24,Лист1!$CC:$CC,1,0)</f>
        <v>#N/A</v>
      </c>
      <c r="BT24" s="49" t="e">
        <f t="shared" si="32"/>
        <v>#N/A</v>
      </c>
      <c r="BU24" s="32" t="str">
        <f t="shared" si="33"/>
        <v>0</v>
      </c>
      <c r="BW24" s="59" t="str">
        <f t="shared" si="52"/>
        <v>...</v>
      </c>
      <c r="BX24" s="60" t="e">
        <f>VLOOKUP(BW24,Лист1!$CG:$CG,1,0)</f>
        <v>#N/A</v>
      </c>
      <c r="BY24" s="49" t="e">
        <f t="shared" si="34"/>
        <v>#N/A</v>
      </c>
      <c r="BZ24" s="32" t="str">
        <f t="shared" si="35"/>
        <v>0</v>
      </c>
      <c r="CB24" s="59" t="str">
        <f t="shared" si="36"/>
        <v>.</v>
      </c>
      <c r="CC24" s="60" t="e">
        <f>VLOOKUP(CB24,Лист1!$CK:$CK,1,0)</f>
        <v>#N/A</v>
      </c>
      <c r="CD24" s="49" t="e">
        <f t="shared" si="37"/>
        <v>#N/A</v>
      </c>
      <c r="CE24" s="32" t="str">
        <f t="shared" si="38"/>
        <v>0</v>
      </c>
      <c r="CG24" s="59" t="str">
        <f t="shared" si="39"/>
        <v>...</v>
      </c>
      <c r="CH24" s="60" t="e">
        <f>VLOOKUP(CG24,Лист1!$CO:$CO,1,0)</f>
        <v>#N/A</v>
      </c>
      <c r="CI24" s="49" t="e">
        <f t="shared" si="40"/>
        <v>#N/A</v>
      </c>
      <c r="CJ24" s="32" t="str">
        <f t="shared" si="41"/>
        <v>0</v>
      </c>
      <c r="CL24" s="59" t="str">
        <f t="shared" si="42"/>
        <v>.</v>
      </c>
      <c r="CM24" s="60" t="e">
        <f>VLOOKUP(CL24,Лист1!$CS:$CS,1,0)</f>
        <v>#N/A</v>
      </c>
      <c r="CN24" s="49" t="e">
        <f t="shared" si="43"/>
        <v>#N/A</v>
      </c>
      <c r="CO24" s="32" t="str">
        <f t="shared" si="44"/>
        <v>0</v>
      </c>
      <c r="CQ24" s="59" t="str">
        <f t="shared" si="45"/>
        <v>.</v>
      </c>
      <c r="CR24" s="60" t="e">
        <f>VLOOKUP(CQ24,Лист1!$CW:$CW,1,0)</f>
        <v>#N/A</v>
      </c>
      <c r="CS24" s="49" t="e">
        <f t="shared" si="46"/>
        <v>#N/A</v>
      </c>
      <c r="CT24" s="32" t="str">
        <f t="shared" si="47"/>
        <v>0</v>
      </c>
      <c r="CV24" s="60" t="e">
        <f>VLOOKUP(O24,Лист1!$CY:$DA,2,0)</f>
        <v>#N/A</v>
      </c>
      <c r="CW24" s="206">
        <f t="shared" si="48"/>
        <v>0</v>
      </c>
      <c r="CX24" s="60" t="e">
        <f>VLOOKUP(E24,Лист1!$CY:$DA,2,0)</f>
        <v>#N/A</v>
      </c>
      <c r="CY24" s="60" t="e">
        <f>VLOOKUP(G24,Лист1!$CY$58:$DA$69,2,0)</f>
        <v>#N/A</v>
      </c>
      <c r="CZ24" s="60" t="e">
        <f>VLOOKUP(G24,Лист1!$CY:$DA,2,0)</f>
        <v>#N/A</v>
      </c>
      <c r="DA24" s="60" t="e">
        <f>VLOOKUP(H24,Лист1!$CY:$DA,2,0)</f>
        <v>#N/A</v>
      </c>
      <c r="DB24" s="60">
        <f t="shared" si="49"/>
        <v>0</v>
      </c>
      <c r="DC24" s="60" t="e">
        <f>VLOOKUP(L24,Лист1!$CY:$DA,2,0)</f>
        <v>#N/A</v>
      </c>
      <c r="DD24" s="60" t="e">
        <f>VLOOKUP(CONCATENATE(L24,".",N24),Лист1!$CY:$DA,2,0)</f>
        <v>#N/A</v>
      </c>
      <c r="DE24" s="214" t="str">
        <f t="shared" si="50"/>
        <v/>
      </c>
      <c r="DG24" s="60" t="e">
        <f>VLOOKUP(Q24,Лист1!$CY:$DA,2,0)</f>
        <v>#N/A</v>
      </c>
      <c r="DH24" s="60" t="e">
        <f>VLOOKUP(G24,Лист1!$CY$58:$DA$69,3,0)</f>
        <v>#N/A</v>
      </c>
      <c r="DI24" s="60" t="e">
        <f>VLOOKUP(CONCATENATE(O24,".",CZ24),Лист1!$CY:$DA,2,0)</f>
        <v>#N/A</v>
      </c>
      <c r="DJ24" s="60" t="e">
        <f>VLOOKUP(H24,Лист1!$CY:$DA,2,0)</f>
        <v>#N/A</v>
      </c>
      <c r="DK24" s="60">
        <f t="shared" si="51"/>
        <v>0</v>
      </c>
      <c r="DL24" s="214" t="str">
        <f>IF(R24="","",VLOOKUP(Q24,Лист1!$CY:$DA,3,0)*R24)</f>
        <v/>
      </c>
    </row>
    <row r="25" spans="1:116" x14ac:dyDescent="0.25">
      <c r="A25" s="23" t="str">
        <f t="shared" si="1"/>
        <v>.</v>
      </c>
      <c r="B25" s="70">
        <v>15</v>
      </c>
      <c r="C25" s="425"/>
      <c r="D25" s="426"/>
      <c r="E25" s="427"/>
      <c r="F25" s="425"/>
      <c r="G25" s="428"/>
      <c r="H25" s="425"/>
      <c r="I25" s="427"/>
      <c r="J25" s="425"/>
      <c r="K25" s="427"/>
      <c r="L25" s="429"/>
      <c r="M25" s="430"/>
      <c r="N25" s="431"/>
      <c r="O25" s="424"/>
      <c r="P25" s="424"/>
      <c r="Q25" s="424"/>
      <c r="R25" s="188"/>
      <c r="S25" s="163"/>
      <c r="T25" s="181" t="str">
        <f t="shared" si="2"/>
        <v/>
      </c>
      <c r="U25" s="191" t="str">
        <f t="shared" si="0"/>
        <v/>
      </c>
      <c r="W25" s="123" t="str">
        <f t="shared" si="3"/>
        <v>0</v>
      </c>
      <c r="X25" s="120" t="str">
        <f>IF(OR(R25="",R25=0),"",SUM(ORDER!H51:H53))</f>
        <v/>
      </c>
      <c r="Y25" s="60" t="str">
        <f t="shared" si="4"/>
        <v>..</v>
      </c>
      <c r="Z25" s="60" t="str">
        <f t="shared" si="53"/>
        <v>..</v>
      </c>
      <c r="AB25" s="31">
        <f t="shared" si="5"/>
        <v>0</v>
      </c>
      <c r="AC25" s="68">
        <f t="shared" si="6"/>
        <v>14</v>
      </c>
      <c r="AD25" s="59" t="str">
        <f t="shared" si="7"/>
        <v>.</v>
      </c>
      <c r="AE25" s="60" t="e">
        <f>VLOOKUP(AD25,Лист1!$AW:$AW,1,0)</f>
        <v>#N/A</v>
      </c>
      <c r="AF25" s="49" t="e">
        <f t="shared" si="8"/>
        <v>#N/A</v>
      </c>
      <c r="AG25" s="32" t="str">
        <f t="shared" si="9"/>
        <v>0</v>
      </c>
      <c r="AI25" s="59" t="str">
        <f t="shared" si="10"/>
        <v>..</v>
      </c>
      <c r="AJ25" s="60" t="e">
        <f>VLOOKUP(AI25,Лист1!$BA:$BA,1,0)</f>
        <v>#N/A</v>
      </c>
      <c r="AK25" s="49" t="e">
        <f t="shared" si="11"/>
        <v>#N/A</v>
      </c>
      <c r="AL25" s="32" t="str">
        <f t="shared" si="12"/>
        <v>0</v>
      </c>
      <c r="AN25" s="59" t="str">
        <f t="shared" si="13"/>
        <v>.</v>
      </c>
      <c r="AO25" s="60" t="e">
        <f>VLOOKUP(AN25,Лист1!$BE:$BE,1,0)</f>
        <v>#N/A</v>
      </c>
      <c r="AP25" s="49" t="e">
        <f t="shared" si="14"/>
        <v>#N/A</v>
      </c>
      <c r="AQ25" s="32" t="str">
        <f t="shared" si="15"/>
        <v>0</v>
      </c>
      <c r="AS25" s="59" t="str">
        <f t="shared" si="16"/>
        <v>.</v>
      </c>
      <c r="AT25" s="60" t="e">
        <f>VLOOKUP(AS25,Лист1!$BI:$BI,1,0)</f>
        <v>#N/A</v>
      </c>
      <c r="AU25" s="49" t="e">
        <f t="shared" si="17"/>
        <v>#N/A</v>
      </c>
      <c r="AV25" s="32" t="str">
        <f t="shared" si="18"/>
        <v>0</v>
      </c>
      <c r="AX25" s="59" t="str">
        <f t="shared" si="19"/>
        <v>.</v>
      </c>
      <c r="AY25" s="60" t="e">
        <f>VLOOKUP(AX25,Лист1!$BM:$BM,1,0)</f>
        <v>#N/A</v>
      </c>
      <c r="AZ25" s="49" t="e">
        <f t="shared" si="20"/>
        <v>#N/A</v>
      </c>
      <c r="BA25" s="32" t="str">
        <f t="shared" si="21"/>
        <v>0</v>
      </c>
      <c r="BC25" s="59" t="str">
        <f t="shared" si="22"/>
        <v>.</v>
      </c>
      <c r="BD25" s="60" t="e">
        <f>VLOOKUP(BC25,Лист1!$BQ:$BQ,1,0)</f>
        <v>#N/A</v>
      </c>
      <c r="BE25" s="49" t="e">
        <f t="shared" si="23"/>
        <v>#N/A</v>
      </c>
      <c r="BF25" s="32" t="str">
        <f t="shared" si="24"/>
        <v>0</v>
      </c>
      <c r="BH25" s="59" t="str">
        <f t="shared" si="25"/>
        <v>..</v>
      </c>
      <c r="BI25" s="60" t="e">
        <f>VLOOKUP(BH25,Лист1!$BU:$BU,1,0)</f>
        <v>#N/A</v>
      </c>
      <c r="BJ25" s="49" t="e">
        <f t="shared" si="26"/>
        <v>#N/A</v>
      </c>
      <c r="BK25" s="32" t="str">
        <f t="shared" si="27"/>
        <v>0</v>
      </c>
      <c r="BM25" s="59" t="str">
        <f t="shared" si="28"/>
        <v>..</v>
      </c>
      <c r="BN25" s="60" t="e">
        <f>VLOOKUP(BM25,Лист1!$BY:$BY,1,0)</f>
        <v>#N/A</v>
      </c>
      <c r="BO25" s="49" t="e">
        <f t="shared" si="29"/>
        <v>#N/A</v>
      </c>
      <c r="BP25" s="32" t="str">
        <f t="shared" si="30"/>
        <v>0</v>
      </c>
      <c r="BR25" s="59" t="str">
        <f t="shared" si="31"/>
        <v>...</v>
      </c>
      <c r="BS25" s="60" t="e">
        <f>VLOOKUP(BR25,Лист1!$CC:$CC,1,0)</f>
        <v>#N/A</v>
      </c>
      <c r="BT25" s="49" t="e">
        <f t="shared" si="32"/>
        <v>#N/A</v>
      </c>
      <c r="BU25" s="32" t="str">
        <f t="shared" si="33"/>
        <v>0</v>
      </c>
      <c r="BW25" s="59" t="str">
        <f t="shared" si="52"/>
        <v>...</v>
      </c>
      <c r="BX25" s="60" t="e">
        <f>VLOOKUP(BW25,Лист1!$CG:$CG,1,0)</f>
        <v>#N/A</v>
      </c>
      <c r="BY25" s="49" t="e">
        <f t="shared" si="34"/>
        <v>#N/A</v>
      </c>
      <c r="BZ25" s="32" t="str">
        <f t="shared" si="35"/>
        <v>0</v>
      </c>
      <c r="CB25" s="59" t="str">
        <f t="shared" si="36"/>
        <v>.</v>
      </c>
      <c r="CC25" s="60" t="e">
        <f>VLOOKUP(CB25,Лист1!$CK:$CK,1,0)</f>
        <v>#N/A</v>
      </c>
      <c r="CD25" s="49" t="e">
        <f t="shared" si="37"/>
        <v>#N/A</v>
      </c>
      <c r="CE25" s="32" t="str">
        <f t="shared" si="38"/>
        <v>0</v>
      </c>
      <c r="CG25" s="59" t="str">
        <f t="shared" si="39"/>
        <v>...</v>
      </c>
      <c r="CH25" s="60" t="e">
        <f>VLOOKUP(CG25,Лист1!$CO:$CO,1,0)</f>
        <v>#N/A</v>
      </c>
      <c r="CI25" s="49" t="e">
        <f t="shared" si="40"/>
        <v>#N/A</v>
      </c>
      <c r="CJ25" s="32" t="str">
        <f t="shared" si="41"/>
        <v>0</v>
      </c>
      <c r="CL25" s="59" t="str">
        <f t="shared" si="42"/>
        <v>.</v>
      </c>
      <c r="CM25" s="60" t="e">
        <f>VLOOKUP(CL25,Лист1!$CS:$CS,1,0)</f>
        <v>#N/A</v>
      </c>
      <c r="CN25" s="49" t="e">
        <f t="shared" si="43"/>
        <v>#N/A</v>
      </c>
      <c r="CO25" s="32" t="str">
        <f t="shared" si="44"/>
        <v>0</v>
      </c>
      <c r="CQ25" s="59" t="str">
        <f t="shared" si="45"/>
        <v>.</v>
      </c>
      <c r="CR25" s="60" t="e">
        <f>VLOOKUP(CQ25,Лист1!$CW:$CW,1,0)</f>
        <v>#N/A</v>
      </c>
      <c r="CS25" s="49" t="e">
        <f t="shared" si="46"/>
        <v>#N/A</v>
      </c>
      <c r="CT25" s="32" t="str">
        <f t="shared" si="47"/>
        <v>0</v>
      </c>
      <c r="CV25" s="60" t="e">
        <f>VLOOKUP(O25,Лист1!$CY:$DA,2,0)</f>
        <v>#N/A</v>
      </c>
      <c r="CW25" s="206">
        <f t="shared" si="48"/>
        <v>0</v>
      </c>
      <c r="CX25" s="60" t="e">
        <f>VLOOKUP(E25,Лист1!$CY:$DA,2,0)</f>
        <v>#N/A</v>
      </c>
      <c r="CY25" s="60" t="e">
        <f>VLOOKUP(G25,Лист1!$CY$58:$DA$69,2,0)</f>
        <v>#N/A</v>
      </c>
      <c r="CZ25" s="60" t="e">
        <f>VLOOKUP(G25,Лист1!$CY:$DA,2,0)</f>
        <v>#N/A</v>
      </c>
      <c r="DA25" s="60" t="e">
        <f>VLOOKUP(H25,Лист1!$CY:$DA,2,0)</f>
        <v>#N/A</v>
      </c>
      <c r="DB25" s="60">
        <f t="shared" si="49"/>
        <v>0</v>
      </c>
      <c r="DC25" s="60" t="e">
        <f>VLOOKUP(L25,Лист1!$CY:$DA,2,0)</f>
        <v>#N/A</v>
      </c>
      <c r="DD25" s="60" t="e">
        <f>VLOOKUP(CONCATENATE(L25,".",N25),Лист1!$CY:$DA,2,0)</f>
        <v>#N/A</v>
      </c>
      <c r="DE25" s="214" t="str">
        <f t="shared" si="50"/>
        <v/>
      </c>
      <c r="DG25" s="60" t="e">
        <f>VLOOKUP(Q25,Лист1!$CY:$DA,2,0)</f>
        <v>#N/A</v>
      </c>
      <c r="DH25" s="60" t="e">
        <f>VLOOKUP(G25,Лист1!$CY$58:$DA$69,3,0)</f>
        <v>#N/A</v>
      </c>
      <c r="DI25" s="60" t="e">
        <f>VLOOKUP(CONCATENATE(O25,".",CZ25),Лист1!$CY:$DA,2,0)</f>
        <v>#N/A</v>
      </c>
      <c r="DJ25" s="60" t="e">
        <f>VLOOKUP(H25,Лист1!$CY:$DA,2,0)</f>
        <v>#N/A</v>
      </c>
      <c r="DK25" s="60">
        <f t="shared" si="51"/>
        <v>0</v>
      </c>
      <c r="DL25" s="214" t="str">
        <f>IF(R25="","",VLOOKUP(Q25,Лист1!$CY:$DA,3,0)*R25)</f>
        <v/>
      </c>
    </row>
    <row r="26" spans="1:116" ht="5.0999999999999996" customHeight="1" x14ac:dyDescent="0.25">
      <c r="B26" s="175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8"/>
      <c r="O26" s="178"/>
      <c r="P26" s="178"/>
      <c r="Q26" s="178"/>
      <c r="R26" s="176"/>
      <c r="S26" s="176"/>
      <c r="T26" s="176"/>
      <c r="U26" s="176"/>
      <c r="W26" s="124"/>
      <c r="X26" s="121"/>
    </row>
    <row r="27" spans="1:116" x14ac:dyDescent="0.25">
      <c r="B27" s="725" t="s">
        <v>859</v>
      </c>
      <c r="C27" s="723"/>
      <c r="D27" s="723"/>
      <c r="E27" s="723"/>
      <c r="F27" s="723"/>
      <c r="G27" s="723"/>
      <c r="H27" s="723"/>
      <c r="I27" s="723"/>
      <c r="J27" s="723"/>
      <c r="K27" s="723"/>
      <c r="L27" s="723"/>
      <c r="M27" s="723"/>
      <c r="N27" s="723"/>
      <c r="O27" s="723"/>
      <c r="P27" s="723"/>
      <c r="Q27" s="723"/>
      <c r="R27" s="723"/>
      <c r="S27" s="723"/>
      <c r="T27" s="723"/>
      <c r="U27" s="724"/>
      <c r="AB27" s="31" t="str">
        <f>AD27</f>
        <v>СВЕРКА</v>
      </c>
      <c r="AD27" s="31" t="str">
        <f>"СВЕРКА"</f>
        <v>СВЕРКА</v>
      </c>
    </row>
    <row r="28" spans="1:116" ht="21" x14ac:dyDescent="0.25">
      <c r="B28" s="67" t="s">
        <v>159</v>
      </c>
      <c r="C28" s="732" t="s">
        <v>841</v>
      </c>
      <c r="D28" s="34" t="s">
        <v>177</v>
      </c>
      <c r="E28" s="33" t="s">
        <v>842</v>
      </c>
      <c r="F28" s="47" t="s">
        <v>97</v>
      </c>
      <c r="G28" s="48" t="s">
        <v>117</v>
      </c>
      <c r="H28" s="9" t="s">
        <v>178</v>
      </c>
      <c r="I28" s="11" t="s">
        <v>843</v>
      </c>
      <c r="J28" s="61" t="s">
        <v>844</v>
      </c>
      <c r="K28" s="62" t="s">
        <v>845</v>
      </c>
      <c r="L28" s="9" t="s">
        <v>846</v>
      </c>
      <c r="M28" s="10" t="s">
        <v>847</v>
      </c>
      <c r="N28" s="11" t="s">
        <v>848</v>
      </c>
      <c r="O28" s="9"/>
      <c r="P28" s="10"/>
      <c r="Q28" s="11"/>
      <c r="R28" s="78" t="s">
        <v>850</v>
      </c>
      <c r="S28" s="67" t="s">
        <v>851</v>
      </c>
      <c r="T28" s="75" t="s">
        <v>852</v>
      </c>
      <c r="U28" s="46" t="s">
        <v>853</v>
      </c>
      <c r="Y28" s="19" t="s">
        <v>284</v>
      </c>
      <c r="Z28" s="19" t="s">
        <v>285</v>
      </c>
      <c r="AD28" s="753" t="str">
        <f>D28</f>
        <v>мод</v>
      </c>
      <c r="AE28" s="753"/>
      <c r="AF28" s="753"/>
      <c r="AG28" s="753"/>
      <c r="AI28" s="753" t="str">
        <f>E28</f>
        <v xml:space="preserve">
викон.</v>
      </c>
      <c r="AJ28" s="753"/>
      <c r="AK28" s="753"/>
      <c r="AL28" s="753"/>
      <c r="AN28" s="753" t="str">
        <f>F28</f>
        <v>тип</v>
      </c>
      <c r="AO28" s="753"/>
      <c r="AP28" s="753"/>
      <c r="AQ28" s="753"/>
      <c r="AS28" s="753" t="str">
        <f>G28</f>
        <v>ширина</v>
      </c>
      <c r="AT28" s="753"/>
      <c r="AU28" s="753"/>
      <c r="AV28" s="753"/>
      <c r="AX28" s="753" t="str">
        <f>H28</f>
        <v>декор</v>
      </c>
      <c r="AY28" s="753"/>
      <c r="AZ28" s="753"/>
      <c r="BA28" s="753"/>
      <c r="BC28" s="753" t="str">
        <f>I28</f>
        <v xml:space="preserve">
колір</v>
      </c>
      <c r="BD28" s="753"/>
      <c r="BE28" s="753"/>
      <c r="BF28" s="753"/>
      <c r="BH28" s="753" t="str">
        <f>J28</f>
        <v>заповн.</v>
      </c>
      <c r="BI28" s="753"/>
      <c r="BJ28" s="753"/>
      <c r="BK28" s="753"/>
      <c r="BM28" s="753" t="str">
        <f>K28</f>
        <v>скло</v>
      </c>
      <c r="BN28" s="753"/>
      <c r="BO28" s="753"/>
      <c r="BP28" s="753"/>
      <c r="BR28" s="753" t="str">
        <f>L28</f>
        <v>фурнітура</v>
      </c>
      <c r="BS28" s="753"/>
      <c r="BT28" s="753"/>
      <c r="BU28" s="753"/>
      <c r="BW28" s="753" t="str">
        <f>M28</f>
        <v>вент.від</v>
      </c>
      <c r="BX28" s="753"/>
      <c r="BY28" s="753"/>
      <c r="BZ28" s="753"/>
      <c r="CB28" s="753" t="str">
        <f>N28</f>
        <v>завіса</v>
      </c>
      <c r="CC28" s="753"/>
      <c r="CD28" s="753"/>
      <c r="CE28" s="753"/>
    </row>
    <row r="29" spans="1:116" x14ac:dyDescent="0.25">
      <c r="A29" s="23" t="str">
        <f>CONCATENATE(C29,".",D29)</f>
        <v>.</v>
      </c>
      <c r="B29" s="69">
        <v>1</v>
      </c>
      <c r="C29" s="418"/>
      <c r="D29" s="419"/>
      <c r="E29" s="420"/>
      <c r="F29" s="418"/>
      <c r="G29" s="421"/>
      <c r="H29" s="418"/>
      <c r="I29" s="420"/>
      <c r="J29" s="418"/>
      <c r="K29" s="420"/>
      <c r="L29" s="418"/>
      <c r="M29" s="422"/>
      <c r="N29" s="423"/>
      <c r="O29" s="436"/>
      <c r="P29" s="424"/>
      <c r="Q29" s="437"/>
      <c r="R29" s="186"/>
      <c r="S29" s="162"/>
      <c r="T29" s="179" t="str">
        <f>IF(OR(W29="",W29="0"),"",W29)</f>
        <v/>
      </c>
      <c r="U29" s="190" t="str">
        <f t="shared" ref="U29:U43" si="55">IF(R29="","",IF(NOT(AC29=0),"Ошибка в строке",""))</f>
        <v/>
      </c>
      <c r="W29" s="123" t="str">
        <f>IF(OR(ISNA(X29),NOT(AC29=0)),"0",X29)</f>
        <v>0</v>
      </c>
      <c r="X29" s="120" t="str">
        <f>IF(OR(R29="",R29=0),"",ORDER!H55)</f>
        <v/>
      </c>
      <c r="Y29" s="60" t="str">
        <f>CONCATENATE(C29,".",E29,".",F29)</f>
        <v>..</v>
      </c>
      <c r="AB29" s="31">
        <f>AG29+AL29+AQ29+AV29+BA29+BF29+BK29+BP29+BU29+BZ29+CE29</f>
        <v>0</v>
      </c>
      <c r="AC29" s="68">
        <f>11-AB29</f>
        <v>11</v>
      </c>
      <c r="AD29" s="59" t="str">
        <f>CONCATENATE(C29,".",D29)</f>
        <v>.</v>
      </c>
      <c r="AE29" s="60" t="e">
        <f>VLOOKUP(AD29,Лист1!$AW:$AW,1,0)</f>
        <v>#N/A</v>
      </c>
      <c r="AF29" s="49" t="e">
        <f>IF(AD29=AE29,1,0)</f>
        <v>#N/A</v>
      </c>
      <c r="AG29" s="32" t="str">
        <f>IF(ISNA(AF29),"0",AF29)</f>
        <v>0</v>
      </c>
      <c r="AI29" s="59" t="str">
        <f>CONCATENATE(C29,".",D29,".",E29)</f>
        <v>..</v>
      </c>
      <c r="AJ29" s="60" t="e">
        <f>VLOOKUP(AI29,Лист1!$BA:$BA,1,0)</f>
        <v>#N/A</v>
      </c>
      <c r="AK29" s="49" t="e">
        <f>IF(AI29=AJ29,1,0)</f>
        <v>#N/A</v>
      </c>
      <c r="AL29" s="32" t="str">
        <f>IF(ISNA(AK29),"0",AK29)</f>
        <v>0</v>
      </c>
      <c r="AN29" s="59" t="str">
        <f>CONCATENATE(E29,".",F29,)</f>
        <v>.</v>
      </c>
      <c r="AO29" s="60" t="e">
        <f>VLOOKUP(AN29,Лист1!$BE:$BE,1,0)</f>
        <v>#N/A</v>
      </c>
      <c r="AP29" s="49" t="e">
        <f>IF(AN29=AO29,1,0)</f>
        <v>#N/A</v>
      </c>
      <c r="AQ29" s="32" t="str">
        <f>IF(ISNA(AP29),"0",AP29)</f>
        <v>0</v>
      </c>
      <c r="AS29" s="59" t="str">
        <f>CONCATENATE(F29,".",G29,)</f>
        <v>.</v>
      </c>
      <c r="AT29" s="60" t="e">
        <f>VLOOKUP(AS29,Лист1!$BI:$BI,1,0)</f>
        <v>#N/A</v>
      </c>
      <c r="AU29" s="49" t="e">
        <f>IF(AS29=AT29,1,0)</f>
        <v>#N/A</v>
      </c>
      <c r="AV29" s="32" t="str">
        <f>IF(ISNA(AU29),"0",AU29)</f>
        <v>0</v>
      </c>
      <c r="AX29" s="59" t="str">
        <f>CONCATENATE(C29,".",H29,)</f>
        <v>.</v>
      </c>
      <c r="AY29" s="60" t="e">
        <f>VLOOKUP(AX29,Лист1!$BM:$BM,1,0)</f>
        <v>#N/A</v>
      </c>
      <c r="AZ29" s="49" t="e">
        <f>IF(AX29=AY29,1,0)</f>
        <v>#N/A</v>
      </c>
      <c r="BA29" s="32" t="str">
        <f>IF(ISNA(AZ29),"0",AZ29)</f>
        <v>0</v>
      </c>
      <c r="BC29" s="59" t="str">
        <f>CONCATENATE(H29,".",I29,)</f>
        <v>.</v>
      </c>
      <c r="BD29" s="60" t="e">
        <f>VLOOKUP(BC29,Лист1!$BQ:$BQ,1,0)</f>
        <v>#N/A</v>
      </c>
      <c r="BE29" s="49" t="e">
        <f>IF(BC29=BD29,1,0)</f>
        <v>#N/A</v>
      </c>
      <c r="BF29" s="32" t="str">
        <f>IF(ISNA(BE29),"0",BE29)</f>
        <v>0</v>
      </c>
      <c r="BH29" s="59" t="str">
        <f>CONCATENATE(C29,".",D29,".",J29)</f>
        <v>..</v>
      </c>
      <c r="BI29" s="60" t="e">
        <f>VLOOKUP(BH29,Лист1!$BU:$BU,1,0)</f>
        <v>#N/A</v>
      </c>
      <c r="BJ29" s="49" t="e">
        <f>IF(BH29=BI29,1,0)</f>
        <v>#N/A</v>
      </c>
      <c r="BK29" s="32" t="str">
        <f>IF(ISNA(BJ29),"0",BJ29)</f>
        <v>0</v>
      </c>
      <c r="BM29" s="59" t="str">
        <f>CONCATENATE(C29,".",D29,".",K29)</f>
        <v>..</v>
      </c>
      <c r="BN29" s="60" t="e">
        <f>VLOOKUP(BM29,Лист1!$BY:$BY,1,0)</f>
        <v>#N/A</v>
      </c>
      <c r="BO29" s="49" t="e">
        <f>IF(BM29=BN29,1,0)</f>
        <v>#N/A</v>
      </c>
      <c r="BP29" s="32" t="str">
        <f>IF(ISNA(BO29),"0",BO29)</f>
        <v>0</v>
      </c>
      <c r="BR29" s="59" t="str">
        <f>CONCATENATE(C29,".",E29,".",F29,".",L29)</f>
        <v>...</v>
      </c>
      <c r="BS29" s="60" t="e">
        <f>VLOOKUP(BR29,Лист1!$CC:$CC,1,0)</f>
        <v>#N/A</v>
      </c>
      <c r="BT29" s="49" t="e">
        <f>IF(BR29=BS29,1,0)</f>
        <v>#N/A</v>
      </c>
      <c r="BU29" s="32" t="str">
        <f>IF(ISNA(BT29),"0",BT29)</f>
        <v>0</v>
      </c>
      <c r="BW29" s="59" t="str">
        <f>CONCATENATE(C29,".",E29,".",F29,".",M29)</f>
        <v>...</v>
      </c>
      <c r="BX29" s="60" t="e">
        <f>VLOOKUP(BW29,Лист1!$CG:$CG,1,0)</f>
        <v>#N/A</v>
      </c>
      <c r="BY29" s="49" t="e">
        <f>IF(BW29=BX29,1,0)</f>
        <v>#N/A</v>
      </c>
      <c r="BZ29" s="32" t="str">
        <f>IF(ISNA(BY29),"0",BY29)</f>
        <v>0</v>
      </c>
      <c r="CB29" s="59" t="str">
        <f>CONCATENATE(L29,".",N29)</f>
        <v>.</v>
      </c>
      <c r="CC29" s="60" t="e">
        <f>VLOOKUP(CB29,Лист1!$CK:$CK,1,0)</f>
        <v>#N/A</v>
      </c>
      <c r="CD29" s="49" t="e">
        <f>IF(CB29=CC29,1,0)</f>
        <v>#N/A</v>
      </c>
      <c r="CE29" s="32" t="str">
        <f>IF(ISNA(CD29),"0",CD29)</f>
        <v>0</v>
      </c>
    </row>
    <row r="30" spans="1:116" x14ac:dyDescent="0.25">
      <c r="A30" s="23" t="str">
        <f t="shared" ref="A30:A43" si="56">CONCATENATE(C30,".",D30)</f>
        <v>.</v>
      </c>
      <c r="B30" s="70">
        <v>2</v>
      </c>
      <c r="C30" s="418"/>
      <c r="D30" s="419"/>
      <c r="E30" s="420"/>
      <c r="F30" s="418"/>
      <c r="G30" s="421"/>
      <c r="H30" s="418"/>
      <c r="I30" s="420"/>
      <c r="J30" s="418"/>
      <c r="K30" s="420"/>
      <c r="L30" s="418"/>
      <c r="M30" s="422"/>
      <c r="N30" s="423"/>
      <c r="O30" s="436"/>
      <c r="P30" s="424"/>
      <c r="Q30" s="437"/>
      <c r="R30" s="186"/>
      <c r="S30" s="104"/>
      <c r="T30" s="180" t="str">
        <f t="shared" ref="T30:T43" si="57">IF(OR(W30="",W30="0"),"",W30)</f>
        <v/>
      </c>
      <c r="U30" s="189" t="str">
        <f t="shared" si="55"/>
        <v/>
      </c>
      <c r="W30" s="123" t="str">
        <f t="shared" ref="W30:W43" si="58">IF(OR(ISNA(X30),NOT(AC30=0)),"0",X30)</f>
        <v>0</v>
      </c>
      <c r="X30" s="120" t="str">
        <f>IF(OR(R30="",R30=0),"",ORDER!H56)</f>
        <v/>
      </c>
      <c r="Y30" s="60" t="str">
        <f t="shared" ref="Y30:Y43" si="59">CONCATENATE(C30,".",E30,".",F30)</f>
        <v>..</v>
      </c>
      <c r="AB30" s="31">
        <f t="shared" ref="AB30:AB43" si="60">AG30+AL30+AQ30+AV30+BA30+BF30+BK30+BP30+BU30+BZ30+CE30</f>
        <v>0</v>
      </c>
      <c r="AC30" s="68">
        <f t="shared" ref="AC30:AC43" si="61">11-AB30</f>
        <v>11</v>
      </c>
      <c r="AD30" s="59" t="str">
        <f t="shared" ref="AD30:AD43" si="62">CONCATENATE(C30,".",D30)</f>
        <v>.</v>
      </c>
      <c r="AE30" s="60" t="e">
        <f>VLOOKUP(AD30,Лист1!$AW:$AW,1,0)</f>
        <v>#N/A</v>
      </c>
      <c r="AF30" s="49" t="e">
        <f t="shared" ref="AF30:AF43" si="63">IF(AD30=AE30,1,0)</f>
        <v>#N/A</v>
      </c>
      <c r="AG30" s="32" t="str">
        <f t="shared" ref="AG30:AG43" si="64">IF(ISNA(AF30),"0",AF30)</f>
        <v>0</v>
      </c>
      <c r="AI30" s="59" t="str">
        <f t="shared" ref="AI30:AI43" si="65">CONCATENATE(C30,".",D30,".",E30)</f>
        <v>..</v>
      </c>
      <c r="AJ30" s="60" t="e">
        <f>VLOOKUP(AI30,Лист1!$BA:$BA,1,0)</f>
        <v>#N/A</v>
      </c>
      <c r="AK30" s="49" t="e">
        <f t="shared" ref="AK30:AK43" si="66">IF(AI30=AJ30,1,0)</f>
        <v>#N/A</v>
      </c>
      <c r="AL30" s="32" t="str">
        <f t="shared" ref="AL30:AL43" si="67">IF(ISNA(AK30),"0",AK30)</f>
        <v>0</v>
      </c>
      <c r="AN30" s="59" t="str">
        <f t="shared" ref="AN30:AN43" si="68">CONCATENATE(E30,".",F30,)</f>
        <v>.</v>
      </c>
      <c r="AO30" s="60" t="e">
        <f>VLOOKUP(AN30,Лист1!$BE:$BE,1,0)</f>
        <v>#N/A</v>
      </c>
      <c r="AP30" s="49" t="e">
        <f t="shared" ref="AP30:AP43" si="69">IF(AN30=AO30,1,0)</f>
        <v>#N/A</v>
      </c>
      <c r="AQ30" s="32" t="str">
        <f t="shared" ref="AQ30:AQ43" si="70">IF(ISNA(AP30),"0",AP30)</f>
        <v>0</v>
      </c>
      <c r="AS30" s="59" t="str">
        <f t="shared" ref="AS30:AS43" si="71">CONCATENATE(F30,".",G30,)</f>
        <v>.</v>
      </c>
      <c r="AT30" s="60" t="e">
        <f>VLOOKUP(AS30,Лист1!$BI:$BI,1,0)</f>
        <v>#N/A</v>
      </c>
      <c r="AU30" s="49" t="e">
        <f t="shared" ref="AU30:AU43" si="72">IF(AS30=AT30,1,0)</f>
        <v>#N/A</v>
      </c>
      <c r="AV30" s="32" t="str">
        <f t="shared" ref="AV30:AV43" si="73">IF(ISNA(AU30),"0",AU30)</f>
        <v>0</v>
      </c>
      <c r="AX30" s="59" t="str">
        <f t="shared" ref="AX30:AX43" si="74">CONCATENATE(C30,".",H30,)</f>
        <v>.</v>
      </c>
      <c r="AY30" s="60" t="e">
        <f>VLOOKUP(AX30,Лист1!$BM:$BM,1,0)</f>
        <v>#N/A</v>
      </c>
      <c r="AZ30" s="49" t="e">
        <f t="shared" ref="AZ30:AZ43" si="75">IF(AX30=AY30,1,0)</f>
        <v>#N/A</v>
      </c>
      <c r="BA30" s="32" t="str">
        <f t="shared" ref="BA30:BA43" si="76">IF(ISNA(AZ30),"0",AZ30)</f>
        <v>0</v>
      </c>
      <c r="BC30" s="59" t="str">
        <f t="shared" ref="BC30:BC43" si="77">CONCATENATE(H30,".",I30,)</f>
        <v>.</v>
      </c>
      <c r="BD30" s="60" t="e">
        <f>VLOOKUP(BC30,Лист1!$BQ:$BQ,1,0)</f>
        <v>#N/A</v>
      </c>
      <c r="BE30" s="49" t="e">
        <f t="shared" ref="BE30:BE43" si="78">IF(BC30=BD30,1,0)</f>
        <v>#N/A</v>
      </c>
      <c r="BF30" s="32" t="str">
        <f t="shared" ref="BF30:BF43" si="79">IF(ISNA(BE30),"0",BE30)</f>
        <v>0</v>
      </c>
      <c r="BH30" s="59" t="str">
        <f t="shared" ref="BH30:BH43" si="80">CONCATENATE(C30,".",D30,".",J30)</f>
        <v>..</v>
      </c>
      <c r="BI30" s="60" t="e">
        <f>VLOOKUP(BH30,Лист1!$BU:$BU,1,0)</f>
        <v>#N/A</v>
      </c>
      <c r="BJ30" s="49" t="e">
        <f t="shared" ref="BJ30:BJ43" si="81">IF(BH30=BI30,1,0)</f>
        <v>#N/A</v>
      </c>
      <c r="BK30" s="32" t="str">
        <f t="shared" ref="BK30:BK43" si="82">IF(ISNA(BJ30),"0",BJ30)</f>
        <v>0</v>
      </c>
      <c r="BM30" s="59" t="str">
        <f t="shared" ref="BM30:BM43" si="83">CONCATENATE(C30,".",D30,".",K30)</f>
        <v>..</v>
      </c>
      <c r="BN30" s="60" t="e">
        <f>VLOOKUP(BM30,Лист1!$BY:$BY,1,0)</f>
        <v>#N/A</v>
      </c>
      <c r="BO30" s="49" t="e">
        <f t="shared" ref="BO30:BO43" si="84">IF(BM30=BN30,1,0)</f>
        <v>#N/A</v>
      </c>
      <c r="BP30" s="32" t="str">
        <f t="shared" ref="BP30:BP43" si="85">IF(ISNA(BO30),"0",BO30)</f>
        <v>0</v>
      </c>
      <c r="BR30" s="59" t="str">
        <f t="shared" ref="BR30:BR43" si="86">CONCATENATE(C30,".",E30,".",F30,".",L30)</f>
        <v>...</v>
      </c>
      <c r="BS30" s="60" t="e">
        <f>VLOOKUP(BR30,Лист1!$CC:$CC,1,0)</f>
        <v>#N/A</v>
      </c>
      <c r="BT30" s="49" t="e">
        <f t="shared" ref="BT30:BT43" si="87">IF(BR30=BS30,1,0)</f>
        <v>#N/A</v>
      </c>
      <c r="BU30" s="32" t="str">
        <f t="shared" ref="BU30:BU43" si="88">IF(ISNA(BT30),"0",BT30)</f>
        <v>0</v>
      </c>
      <c r="BW30" s="59" t="str">
        <f t="shared" ref="BW30:BW43" si="89">CONCATENATE(C30,".",E30,".",F30,".",M30)</f>
        <v>...</v>
      </c>
      <c r="BX30" s="60" t="e">
        <f>VLOOKUP(BW30,Лист1!$CG:$CG,1,0)</f>
        <v>#N/A</v>
      </c>
      <c r="BY30" s="49" t="e">
        <f t="shared" ref="BY30:BY43" si="90">IF(BW30=BX30,1,0)</f>
        <v>#N/A</v>
      </c>
      <c r="BZ30" s="32" t="str">
        <f t="shared" ref="BZ30:BZ43" si="91">IF(ISNA(BY30),"0",BY30)</f>
        <v>0</v>
      </c>
      <c r="CB30" s="59" t="str">
        <f t="shared" ref="CB30:CB43" si="92">CONCATENATE(L30,".",N30)</f>
        <v>.</v>
      </c>
      <c r="CC30" s="60" t="e">
        <f>VLOOKUP(CB30,Лист1!$CK:$CK,1,0)</f>
        <v>#N/A</v>
      </c>
      <c r="CD30" s="49" t="e">
        <f t="shared" ref="CD30:CD43" si="93">IF(CB30=CC30,1,0)</f>
        <v>#N/A</v>
      </c>
      <c r="CE30" s="32" t="str">
        <f t="shared" ref="CE30:CE43" si="94">IF(ISNA(CD30),"0",CD30)</f>
        <v>0</v>
      </c>
    </row>
    <row r="31" spans="1:116" x14ac:dyDescent="0.25">
      <c r="A31" s="23" t="str">
        <f t="shared" si="56"/>
        <v>.</v>
      </c>
      <c r="B31" s="70">
        <v>3</v>
      </c>
      <c r="C31" s="418"/>
      <c r="D31" s="419"/>
      <c r="E31" s="420"/>
      <c r="F31" s="418"/>
      <c r="G31" s="421"/>
      <c r="H31" s="418"/>
      <c r="I31" s="420"/>
      <c r="J31" s="418"/>
      <c r="K31" s="420"/>
      <c r="L31" s="418"/>
      <c r="M31" s="422"/>
      <c r="N31" s="423"/>
      <c r="O31" s="436"/>
      <c r="P31" s="424"/>
      <c r="Q31" s="437"/>
      <c r="R31" s="186"/>
      <c r="S31" s="104"/>
      <c r="T31" s="180" t="str">
        <f t="shared" si="57"/>
        <v/>
      </c>
      <c r="U31" s="189" t="str">
        <f t="shared" si="55"/>
        <v/>
      </c>
      <c r="W31" s="123" t="str">
        <f t="shared" si="58"/>
        <v>0</v>
      </c>
      <c r="X31" s="120" t="str">
        <f>IF(OR(R31="",R31=0),"",ORDER!H57)</f>
        <v/>
      </c>
      <c r="Y31" s="60" t="str">
        <f t="shared" si="59"/>
        <v>..</v>
      </c>
      <c r="AB31" s="31">
        <f t="shared" si="60"/>
        <v>0</v>
      </c>
      <c r="AC31" s="68">
        <f t="shared" si="61"/>
        <v>11</v>
      </c>
      <c r="AD31" s="59" t="str">
        <f t="shared" si="62"/>
        <v>.</v>
      </c>
      <c r="AE31" s="60" t="e">
        <f>VLOOKUP(AD31,Лист1!$AW:$AW,1,0)</f>
        <v>#N/A</v>
      </c>
      <c r="AF31" s="49" t="e">
        <f t="shared" si="63"/>
        <v>#N/A</v>
      </c>
      <c r="AG31" s="32" t="str">
        <f t="shared" si="64"/>
        <v>0</v>
      </c>
      <c r="AI31" s="59" t="str">
        <f t="shared" ref="AI31:AI36" si="95">CONCATENATE(C31,".",D31,".",E31)</f>
        <v>..</v>
      </c>
      <c r="AJ31" s="60" t="e">
        <f>VLOOKUP(AI31,Лист1!$BA:$BA,1,0)</f>
        <v>#N/A</v>
      </c>
      <c r="AK31" s="49" t="e">
        <f t="shared" si="66"/>
        <v>#N/A</v>
      </c>
      <c r="AL31" s="32" t="str">
        <f t="shared" si="67"/>
        <v>0</v>
      </c>
      <c r="AN31" s="59" t="str">
        <f t="shared" ref="AN31:AN36" si="96">CONCATENATE(E31,".",F31,)</f>
        <v>.</v>
      </c>
      <c r="AO31" s="60" t="e">
        <f>VLOOKUP(AN31,Лист1!$BE:$BE,1,0)</f>
        <v>#N/A</v>
      </c>
      <c r="AP31" s="49" t="e">
        <f t="shared" si="69"/>
        <v>#N/A</v>
      </c>
      <c r="AQ31" s="32" t="str">
        <f t="shared" si="70"/>
        <v>0</v>
      </c>
      <c r="AS31" s="59" t="str">
        <f t="shared" si="71"/>
        <v>.</v>
      </c>
      <c r="AT31" s="60" t="e">
        <f>VLOOKUP(AS31,Лист1!$BI:$BI,1,0)</f>
        <v>#N/A</v>
      </c>
      <c r="AU31" s="49" t="e">
        <f t="shared" si="72"/>
        <v>#N/A</v>
      </c>
      <c r="AV31" s="32" t="str">
        <f t="shared" si="73"/>
        <v>0</v>
      </c>
      <c r="AX31" s="59" t="str">
        <f t="shared" si="74"/>
        <v>.</v>
      </c>
      <c r="AY31" s="60" t="e">
        <f>VLOOKUP(AX31,Лист1!$BM:$BM,1,0)</f>
        <v>#N/A</v>
      </c>
      <c r="AZ31" s="49" t="e">
        <f t="shared" si="75"/>
        <v>#N/A</v>
      </c>
      <c r="BA31" s="32" t="str">
        <f t="shared" si="76"/>
        <v>0</v>
      </c>
      <c r="BC31" s="59" t="str">
        <f t="shared" si="77"/>
        <v>.</v>
      </c>
      <c r="BD31" s="60" t="e">
        <f>VLOOKUP(BC31,Лист1!$BQ:$BQ,1,0)</f>
        <v>#N/A</v>
      </c>
      <c r="BE31" s="49" t="e">
        <f t="shared" si="78"/>
        <v>#N/A</v>
      </c>
      <c r="BF31" s="32" t="str">
        <f t="shared" si="79"/>
        <v>0</v>
      </c>
      <c r="BH31" s="59" t="str">
        <f t="shared" si="80"/>
        <v>..</v>
      </c>
      <c r="BI31" s="60" t="e">
        <f>VLOOKUP(BH31,Лист1!$BU:$BU,1,0)</f>
        <v>#N/A</v>
      </c>
      <c r="BJ31" s="49" t="e">
        <f t="shared" si="81"/>
        <v>#N/A</v>
      </c>
      <c r="BK31" s="32" t="str">
        <f t="shared" si="82"/>
        <v>0</v>
      </c>
      <c r="BM31" s="59" t="str">
        <f t="shared" si="83"/>
        <v>..</v>
      </c>
      <c r="BN31" s="60" t="e">
        <f>VLOOKUP(BM31,Лист1!$BY:$BY,1,0)</f>
        <v>#N/A</v>
      </c>
      <c r="BO31" s="49" t="e">
        <f t="shared" si="84"/>
        <v>#N/A</v>
      </c>
      <c r="BP31" s="32" t="str">
        <f t="shared" si="85"/>
        <v>0</v>
      </c>
      <c r="BR31" s="59" t="str">
        <f t="shared" si="86"/>
        <v>...</v>
      </c>
      <c r="BS31" s="60" t="e">
        <f>VLOOKUP(BR31,Лист1!$CC:$CC,1,0)</f>
        <v>#N/A</v>
      </c>
      <c r="BT31" s="49" t="e">
        <f t="shared" si="87"/>
        <v>#N/A</v>
      </c>
      <c r="BU31" s="32" t="str">
        <f t="shared" si="88"/>
        <v>0</v>
      </c>
      <c r="BW31" s="59" t="str">
        <f t="shared" si="89"/>
        <v>...</v>
      </c>
      <c r="BX31" s="60" t="e">
        <f>VLOOKUP(BW31,Лист1!$CG:$CG,1,0)</f>
        <v>#N/A</v>
      </c>
      <c r="BY31" s="49" t="e">
        <f t="shared" si="90"/>
        <v>#N/A</v>
      </c>
      <c r="BZ31" s="32" t="str">
        <f t="shared" si="91"/>
        <v>0</v>
      </c>
      <c r="CB31" s="59" t="str">
        <f t="shared" si="92"/>
        <v>.</v>
      </c>
      <c r="CC31" s="60" t="e">
        <f>VLOOKUP(CB31,Лист1!$CK:$CK,1,0)</f>
        <v>#N/A</v>
      </c>
      <c r="CD31" s="49" t="e">
        <f t="shared" si="93"/>
        <v>#N/A</v>
      </c>
      <c r="CE31" s="32" t="str">
        <f t="shared" si="94"/>
        <v>0</v>
      </c>
    </row>
    <row r="32" spans="1:116" x14ac:dyDescent="0.25">
      <c r="A32" s="23" t="str">
        <f>CONCATENATE(C32,".",D32)</f>
        <v>.</v>
      </c>
      <c r="B32" s="70">
        <v>4</v>
      </c>
      <c r="C32" s="418"/>
      <c r="D32" s="419"/>
      <c r="E32" s="420"/>
      <c r="F32" s="418"/>
      <c r="G32" s="421"/>
      <c r="H32" s="418"/>
      <c r="I32" s="420"/>
      <c r="J32" s="418"/>
      <c r="K32" s="420"/>
      <c r="L32" s="418"/>
      <c r="M32" s="422"/>
      <c r="N32" s="423"/>
      <c r="O32" s="438"/>
      <c r="P32" s="439"/>
      <c r="Q32" s="423"/>
      <c r="R32" s="187"/>
      <c r="S32" s="105"/>
      <c r="T32" s="180" t="str">
        <f>IF(OR(W32="",W32="0"),"",W32)</f>
        <v/>
      </c>
      <c r="U32" s="189" t="str">
        <f>IF(R32="","",IF(NOT(AC32=0),"Ошибка в строке",""))</f>
        <v/>
      </c>
      <c r="W32" s="123" t="str">
        <f>IF(OR(ISNA(X32),NOT(AC32=0)),"0",X32)</f>
        <v>0</v>
      </c>
      <c r="X32" s="120" t="str">
        <f>IF(OR(R32="",R32=0),"",ORDER!H58)</f>
        <v/>
      </c>
      <c r="Y32" s="60" t="str">
        <f>CONCATENATE(C32,".",E32,".",F32)</f>
        <v>..</v>
      </c>
      <c r="AB32" s="31">
        <f>AG32+AL32+AQ32+AV32+BA32+BF32+BK32+BP32+BU32+BZ32+CE32</f>
        <v>0</v>
      </c>
      <c r="AC32" s="68">
        <f t="shared" si="61"/>
        <v>11</v>
      </c>
      <c r="AD32" s="59" t="str">
        <f>CONCATENATE(C32,".",D32)</f>
        <v>.</v>
      </c>
      <c r="AE32" s="60" t="e">
        <f>VLOOKUP(AD32,Лист1!$AW:$AW,1,0)</f>
        <v>#N/A</v>
      </c>
      <c r="AF32" s="49" t="e">
        <f>IF(AD32=AE32,1,0)</f>
        <v>#N/A</v>
      </c>
      <c r="AG32" s="32" t="str">
        <f t="shared" si="64"/>
        <v>0</v>
      </c>
      <c r="AI32" s="59" t="str">
        <f t="shared" si="95"/>
        <v>..</v>
      </c>
      <c r="AJ32" s="60" t="e">
        <f>VLOOKUP(AI32,Лист1!$BA:$BA,1,0)</f>
        <v>#N/A</v>
      </c>
      <c r="AK32" s="49" t="e">
        <f>IF(AI32=AJ32,1,0)</f>
        <v>#N/A</v>
      </c>
      <c r="AL32" s="32" t="str">
        <f t="shared" si="67"/>
        <v>0</v>
      </c>
      <c r="AN32" s="59" t="str">
        <f t="shared" si="96"/>
        <v>.</v>
      </c>
      <c r="AO32" s="60" t="e">
        <f>VLOOKUP(AN32,Лист1!$BE:$BE,1,0)</f>
        <v>#N/A</v>
      </c>
      <c r="AP32" s="49" t="e">
        <f>IF(AN32=AO32,1,0)</f>
        <v>#N/A</v>
      </c>
      <c r="AQ32" s="32" t="str">
        <f t="shared" si="70"/>
        <v>0</v>
      </c>
      <c r="AS32" s="59" t="str">
        <f>CONCATENATE(F32,".",G32,)</f>
        <v>.</v>
      </c>
      <c r="AT32" s="60" t="e">
        <f>VLOOKUP(AS32,Лист1!$BI:$BI,1,0)</f>
        <v>#N/A</v>
      </c>
      <c r="AU32" s="49" t="e">
        <f>IF(AS32=AT32,1,0)</f>
        <v>#N/A</v>
      </c>
      <c r="AV32" s="32" t="str">
        <f t="shared" si="73"/>
        <v>0</v>
      </c>
      <c r="AX32" s="59" t="str">
        <f>CONCATENATE(C32,".",H32,)</f>
        <v>.</v>
      </c>
      <c r="AY32" s="60" t="e">
        <f>VLOOKUP(AX32,Лист1!$BM:$BM,1,0)</f>
        <v>#N/A</v>
      </c>
      <c r="AZ32" s="49" t="e">
        <f>IF(AX32=AY32,1,0)</f>
        <v>#N/A</v>
      </c>
      <c r="BA32" s="32" t="str">
        <f t="shared" si="76"/>
        <v>0</v>
      </c>
      <c r="BC32" s="59" t="str">
        <f>CONCATENATE(H32,".",I32,)</f>
        <v>.</v>
      </c>
      <c r="BD32" s="60" t="e">
        <f>VLOOKUP(BC32,Лист1!$BQ:$BQ,1,0)</f>
        <v>#N/A</v>
      </c>
      <c r="BE32" s="49" t="e">
        <f>IF(BC32=BD32,1,0)</f>
        <v>#N/A</v>
      </c>
      <c r="BF32" s="32" t="str">
        <f t="shared" si="79"/>
        <v>0</v>
      </c>
      <c r="BH32" s="59" t="str">
        <f>CONCATENATE(C32,".",D32,".",J32)</f>
        <v>..</v>
      </c>
      <c r="BI32" s="60" t="e">
        <f>VLOOKUP(BH32,Лист1!$BU:$BU,1,0)</f>
        <v>#N/A</v>
      </c>
      <c r="BJ32" s="49" t="e">
        <f>IF(BH32=BI32,1,0)</f>
        <v>#N/A</v>
      </c>
      <c r="BK32" s="32" t="str">
        <f t="shared" si="82"/>
        <v>0</v>
      </c>
      <c r="BM32" s="59" t="str">
        <f>CONCATENATE(C32,".",D32,".",K32)</f>
        <v>..</v>
      </c>
      <c r="BN32" s="60" t="e">
        <f>VLOOKUP(BM32,Лист1!$BY:$BY,1,0)</f>
        <v>#N/A</v>
      </c>
      <c r="BO32" s="49" t="e">
        <f>IF(BM32=BN32,1,0)</f>
        <v>#N/A</v>
      </c>
      <c r="BP32" s="32" t="str">
        <f t="shared" si="85"/>
        <v>0</v>
      </c>
      <c r="BR32" s="59" t="str">
        <f>CONCATENATE(C32,".",E32,".",F32,".",L32)</f>
        <v>...</v>
      </c>
      <c r="BS32" s="60" t="e">
        <f>VLOOKUP(BR32,Лист1!$CC:$CC,1,0)</f>
        <v>#N/A</v>
      </c>
      <c r="BT32" s="49" t="e">
        <f>IF(BR32=BS32,1,0)</f>
        <v>#N/A</v>
      </c>
      <c r="BU32" s="32" t="str">
        <f t="shared" si="88"/>
        <v>0</v>
      </c>
      <c r="BW32" s="59" t="str">
        <f t="shared" si="89"/>
        <v>...</v>
      </c>
      <c r="BX32" s="60" t="e">
        <f>VLOOKUP(BW32,Лист1!$CG:$CG,1,0)</f>
        <v>#N/A</v>
      </c>
      <c r="BY32" s="49" t="e">
        <f>IF(BW32=BX32,1,0)</f>
        <v>#N/A</v>
      </c>
      <c r="BZ32" s="32" t="str">
        <f t="shared" si="91"/>
        <v>0</v>
      </c>
      <c r="CB32" s="59" t="str">
        <f>CONCATENATE(L32,".",N32)</f>
        <v>.</v>
      </c>
      <c r="CC32" s="60" t="e">
        <f>VLOOKUP(CB32,Лист1!$CK:$CK,1,0)</f>
        <v>#N/A</v>
      </c>
      <c r="CD32" s="49" t="e">
        <f>IF(CB32=CC32,1,0)</f>
        <v>#N/A</v>
      </c>
      <c r="CE32" s="32" t="str">
        <f t="shared" si="94"/>
        <v>0</v>
      </c>
    </row>
    <row r="33" spans="1:83" x14ac:dyDescent="0.25">
      <c r="A33" s="23" t="str">
        <f>CONCATENATE(C33,".",D33)</f>
        <v>.</v>
      </c>
      <c r="B33" s="70">
        <v>5</v>
      </c>
      <c r="C33" s="418"/>
      <c r="D33" s="419"/>
      <c r="E33" s="420"/>
      <c r="F33" s="418"/>
      <c r="G33" s="421"/>
      <c r="H33" s="418"/>
      <c r="I33" s="420"/>
      <c r="J33" s="418"/>
      <c r="K33" s="420"/>
      <c r="L33" s="418"/>
      <c r="M33" s="422"/>
      <c r="N33" s="423"/>
      <c r="O33" s="436"/>
      <c r="P33" s="424"/>
      <c r="Q33" s="437"/>
      <c r="R33" s="186"/>
      <c r="S33" s="104"/>
      <c r="T33" s="180" t="str">
        <f>IF(OR(W33="",W33="0"),"",W33)</f>
        <v/>
      </c>
      <c r="U33" s="189" t="str">
        <f>IF(R33="","",IF(NOT(AC33=0),"Ошибка в строке",""))</f>
        <v/>
      </c>
      <c r="W33" s="123" t="str">
        <f>IF(OR(ISNA(X33),NOT(AC33=0)),"0",X33)</f>
        <v>0</v>
      </c>
      <c r="X33" s="120" t="str">
        <f>IF(OR(R33="",R33=0),"",ORDER!H59)</f>
        <v/>
      </c>
      <c r="Y33" s="60" t="str">
        <f>CONCATENATE(C33,".",E33,".",F33)</f>
        <v>..</v>
      </c>
      <c r="AB33" s="31">
        <f>AG33+AL33+AQ33+AV33+BA33+BF33+BK33+BP33+BU33+BZ33+CE33</f>
        <v>0</v>
      </c>
      <c r="AC33" s="68">
        <f t="shared" si="61"/>
        <v>11</v>
      </c>
      <c r="AD33" s="59" t="str">
        <f>CONCATENATE(C33,".",D33)</f>
        <v>.</v>
      </c>
      <c r="AE33" s="60" t="e">
        <f>VLOOKUP(AD33,Лист1!$AW:$AW,1,0)</f>
        <v>#N/A</v>
      </c>
      <c r="AF33" s="49" t="e">
        <f>IF(AD33=AE33,1,0)</f>
        <v>#N/A</v>
      </c>
      <c r="AG33" s="32" t="str">
        <f t="shared" si="64"/>
        <v>0</v>
      </c>
      <c r="AI33" s="59" t="str">
        <f t="shared" si="95"/>
        <v>..</v>
      </c>
      <c r="AJ33" s="60" t="e">
        <f>VLOOKUP(AI33,Лист1!$BA:$BA,1,0)</f>
        <v>#N/A</v>
      </c>
      <c r="AK33" s="49" t="e">
        <f>IF(AI33=AJ33,1,0)</f>
        <v>#N/A</v>
      </c>
      <c r="AL33" s="32" t="str">
        <f t="shared" si="67"/>
        <v>0</v>
      </c>
      <c r="AN33" s="59" t="str">
        <f t="shared" si="96"/>
        <v>.</v>
      </c>
      <c r="AO33" s="60" t="e">
        <f>VLOOKUP(AN33,Лист1!$BE:$BE,1,0)</f>
        <v>#N/A</v>
      </c>
      <c r="AP33" s="49" t="e">
        <f>IF(AN33=AO33,1,0)</f>
        <v>#N/A</v>
      </c>
      <c r="AQ33" s="32" t="str">
        <f t="shared" si="70"/>
        <v>0</v>
      </c>
      <c r="AS33" s="59" t="str">
        <f>CONCATENATE(F33,".",G33,)</f>
        <v>.</v>
      </c>
      <c r="AT33" s="60" t="e">
        <f>VLOOKUP(AS33,Лист1!$BI:$BI,1,0)</f>
        <v>#N/A</v>
      </c>
      <c r="AU33" s="49" t="e">
        <f>IF(AS33=AT33,1,0)</f>
        <v>#N/A</v>
      </c>
      <c r="AV33" s="32" t="str">
        <f t="shared" si="73"/>
        <v>0</v>
      </c>
      <c r="AX33" s="59" t="str">
        <f>CONCATENATE(C33,".",H33,)</f>
        <v>.</v>
      </c>
      <c r="AY33" s="60" t="e">
        <f>VLOOKUP(AX33,Лист1!$BM:$BM,1,0)</f>
        <v>#N/A</v>
      </c>
      <c r="AZ33" s="49" t="e">
        <f>IF(AX33=AY33,1,0)</f>
        <v>#N/A</v>
      </c>
      <c r="BA33" s="32" t="str">
        <f t="shared" si="76"/>
        <v>0</v>
      </c>
      <c r="BC33" s="59" t="str">
        <f>CONCATENATE(H33,".",I33,)</f>
        <v>.</v>
      </c>
      <c r="BD33" s="60" t="e">
        <f>VLOOKUP(BC33,Лист1!$BQ:$BQ,1,0)</f>
        <v>#N/A</v>
      </c>
      <c r="BE33" s="49" t="e">
        <f>IF(BC33=BD33,1,0)</f>
        <v>#N/A</v>
      </c>
      <c r="BF33" s="32" t="str">
        <f t="shared" si="79"/>
        <v>0</v>
      </c>
      <c r="BH33" s="59" t="str">
        <f>CONCATENATE(C33,".",D33,".",J33)</f>
        <v>..</v>
      </c>
      <c r="BI33" s="60" t="e">
        <f>VLOOKUP(BH33,Лист1!$BU:$BU,1,0)</f>
        <v>#N/A</v>
      </c>
      <c r="BJ33" s="49" t="e">
        <f>IF(BH33=BI33,1,0)</f>
        <v>#N/A</v>
      </c>
      <c r="BK33" s="32" t="str">
        <f t="shared" si="82"/>
        <v>0</v>
      </c>
      <c r="BM33" s="59" t="str">
        <f>CONCATENATE(C33,".",D33,".",K33)</f>
        <v>..</v>
      </c>
      <c r="BN33" s="60" t="e">
        <f>VLOOKUP(BM33,Лист1!$BY:$BY,1,0)</f>
        <v>#N/A</v>
      </c>
      <c r="BO33" s="49" t="e">
        <f>IF(BM33=BN33,1,0)</f>
        <v>#N/A</v>
      </c>
      <c r="BP33" s="32" t="str">
        <f t="shared" si="85"/>
        <v>0</v>
      </c>
      <c r="BR33" s="59" t="str">
        <f>CONCATENATE(C33,".",E33,".",F33,".",L33)</f>
        <v>...</v>
      </c>
      <c r="BS33" s="60" t="e">
        <f>VLOOKUP(BR33,Лист1!$CC:$CC,1,0)</f>
        <v>#N/A</v>
      </c>
      <c r="BT33" s="49" t="e">
        <f>IF(BR33=BS33,1,0)</f>
        <v>#N/A</v>
      </c>
      <c r="BU33" s="32" t="str">
        <f t="shared" si="88"/>
        <v>0</v>
      </c>
      <c r="BW33" s="59" t="str">
        <f t="shared" si="89"/>
        <v>...</v>
      </c>
      <c r="BX33" s="60" t="e">
        <f>VLOOKUP(BW33,Лист1!$CG:$CG,1,0)</f>
        <v>#N/A</v>
      </c>
      <c r="BY33" s="49" t="e">
        <f>IF(BW33=BX33,1,0)</f>
        <v>#N/A</v>
      </c>
      <c r="BZ33" s="32" t="str">
        <f t="shared" si="91"/>
        <v>0</v>
      </c>
      <c r="CB33" s="59" t="str">
        <f>CONCATENATE(L33,".",N33)</f>
        <v>.</v>
      </c>
      <c r="CC33" s="60" t="e">
        <f>VLOOKUP(CB33,Лист1!$CK:$CK,1,0)</f>
        <v>#N/A</v>
      </c>
      <c r="CD33" s="49" t="e">
        <f>IF(CB33=CC33,1,0)</f>
        <v>#N/A</v>
      </c>
      <c r="CE33" s="32" t="str">
        <f t="shared" si="94"/>
        <v>0</v>
      </c>
    </row>
    <row r="34" spans="1:83" x14ac:dyDescent="0.25">
      <c r="A34" s="23" t="str">
        <f>CONCATENATE(C34,".",D34)</f>
        <v>.</v>
      </c>
      <c r="B34" s="70">
        <v>6</v>
      </c>
      <c r="C34" s="418"/>
      <c r="D34" s="419"/>
      <c r="E34" s="420"/>
      <c r="F34" s="418"/>
      <c r="G34" s="421"/>
      <c r="H34" s="418"/>
      <c r="I34" s="420"/>
      <c r="J34" s="418"/>
      <c r="K34" s="420"/>
      <c r="L34" s="418"/>
      <c r="M34" s="422"/>
      <c r="N34" s="423"/>
      <c r="O34" s="438"/>
      <c r="P34" s="439"/>
      <c r="Q34" s="423"/>
      <c r="R34" s="187"/>
      <c r="S34" s="104"/>
      <c r="T34" s="180" t="str">
        <f>IF(OR(W34="",W34="0"),"",W34)</f>
        <v/>
      </c>
      <c r="U34" s="189" t="str">
        <f>IF(R34="","",IF(NOT(AC34=0),"Ошибка в строке",""))</f>
        <v/>
      </c>
      <c r="W34" s="123" t="str">
        <f>IF(OR(ISNA(X34),NOT(AC34=0)),"0",X34)</f>
        <v>0</v>
      </c>
      <c r="X34" s="120" t="str">
        <f>IF(OR(R34="",R34=0),"",ORDER!H60)</f>
        <v/>
      </c>
      <c r="Y34" s="60" t="str">
        <f>CONCATENATE(C34,".",E34,".",F34)</f>
        <v>..</v>
      </c>
      <c r="AB34" s="31">
        <f>AG34+AL34+AQ34+AV34+BA34+BF34+BK34+BP34+BU34+BZ34+CE34</f>
        <v>0</v>
      </c>
      <c r="AC34" s="68">
        <f t="shared" si="61"/>
        <v>11</v>
      </c>
      <c r="AD34" s="59" t="str">
        <f>CONCATENATE(C34,".",D34)</f>
        <v>.</v>
      </c>
      <c r="AE34" s="60" t="e">
        <f>VLOOKUP(AD34,Лист1!$AW:$AW,1,0)</f>
        <v>#N/A</v>
      </c>
      <c r="AF34" s="49" t="e">
        <f>IF(AD34=AE34,1,0)</f>
        <v>#N/A</v>
      </c>
      <c r="AG34" s="32" t="str">
        <f t="shared" si="64"/>
        <v>0</v>
      </c>
      <c r="AI34" s="59" t="str">
        <f t="shared" si="95"/>
        <v>..</v>
      </c>
      <c r="AJ34" s="60" t="e">
        <f>VLOOKUP(AI34,Лист1!$BA:$BA,1,0)</f>
        <v>#N/A</v>
      </c>
      <c r="AK34" s="49" t="e">
        <f>IF(AI34=AJ34,1,0)</f>
        <v>#N/A</v>
      </c>
      <c r="AL34" s="32" t="str">
        <f t="shared" si="67"/>
        <v>0</v>
      </c>
      <c r="AN34" s="59" t="str">
        <f t="shared" si="96"/>
        <v>.</v>
      </c>
      <c r="AO34" s="60" t="e">
        <f>VLOOKUP(AN34,Лист1!$BE:$BE,1,0)</f>
        <v>#N/A</v>
      </c>
      <c r="AP34" s="49" t="e">
        <f>IF(AN34=AO34,1,0)</f>
        <v>#N/A</v>
      </c>
      <c r="AQ34" s="32" t="str">
        <f t="shared" si="70"/>
        <v>0</v>
      </c>
      <c r="AS34" s="59" t="str">
        <f>CONCATENATE(F34,".",G34,)</f>
        <v>.</v>
      </c>
      <c r="AT34" s="60" t="e">
        <f>VLOOKUP(AS34,Лист1!$BI:$BI,1,0)</f>
        <v>#N/A</v>
      </c>
      <c r="AU34" s="49" t="e">
        <f>IF(AS34=AT34,1,0)</f>
        <v>#N/A</v>
      </c>
      <c r="AV34" s="32" t="str">
        <f t="shared" si="73"/>
        <v>0</v>
      </c>
      <c r="AX34" s="59" t="str">
        <f>CONCATENATE(C34,".",H34,)</f>
        <v>.</v>
      </c>
      <c r="AY34" s="60" t="e">
        <f>VLOOKUP(AX34,Лист1!$BM:$BM,1,0)</f>
        <v>#N/A</v>
      </c>
      <c r="AZ34" s="49" t="e">
        <f>IF(AX34=AY34,1,0)</f>
        <v>#N/A</v>
      </c>
      <c r="BA34" s="32" t="str">
        <f t="shared" si="76"/>
        <v>0</v>
      </c>
      <c r="BC34" s="59" t="str">
        <f>CONCATENATE(H34,".",I34,)</f>
        <v>.</v>
      </c>
      <c r="BD34" s="60" t="e">
        <f>VLOOKUP(BC34,Лист1!$BQ:$BQ,1,0)</f>
        <v>#N/A</v>
      </c>
      <c r="BE34" s="49" t="e">
        <f>IF(BC34=BD34,1,0)</f>
        <v>#N/A</v>
      </c>
      <c r="BF34" s="32" t="str">
        <f t="shared" si="79"/>
        <v>0</v>
      </c>
      <c r="BH34" s="59" t="str">
        <f>CONCATENATE(C34,".",D34,".",J34)</f>
        <v>..</v>
      </c>
      <c r="BI34" s="60" t="e">
        <f>VLOOKUP(BH34,Лист1!$BU:$BU,1,0)</f>
        <v>#N/A</v>
      </c>
      <c r="BJ34" s="49" t="e">
        <f>IF(BH34=BI34,1,0)</f>
        <v>#N/A</v>
      </c>
      <c r="BK34" s="32" t="str">
        <f t="shared" si="82"/>
        <v>0</v>
      </c>
      <c r="BM34" s="59" t="str">
        <f>CONCATENATE(C34,".",D34,".",K34)</f>
        <v>..</v>
      </c>
      <c r="BN34" s="60" t="e">
        <f>VLOOKUP(BM34,Лист1!$BY:$BY,1,0)</f>
        <v>#N/A</v>
      </c>
      <c r="BO34" s="49" t="e">
        <f>IF(BM34=BN34,1,0)</f>
        <v>#N/A</v>
      </c>
      <c r="BP34" s="32" t="str">
        <f t="shared" si="85"/>
        <v>0</v>
      </c>
      <c r="BR34" s="59" t="str">
        <f>CONCATENATE(C34,".",E34,".",F34,".",L34)</f>
        <v>...</v>
      </c>
      <c r="BS34" s="60" t="e">
        <f>VLOOKUP(BR34,Лист1!$CC:$CC,1,0)</f>
        <v>#N/A</v>
      </c>
      <c r="BT34" s="49" t="e">
        <f>IF(BR34=BS34,1,0)</f>
        <v>#N/A</v>
      </c>
      <c r="BU34" s="32" t="str">
        <f t="shared" si="88"/>
        <v>0</v>
      </c>
      <c r="BW34" s="59" t="str">
        <f t="shared" si="89"/>
        <v>...</v>
      </c>
      <c r="BX34" s="60" t="e">
        <f>VLOOKUP(BW34,Лист1!$CG:$CG,1,0)</f>
        <v>#N/A</v>
      </c>
      <c r="BY34" s="49" t="e">
        <f>IF(BW34=BX34,1,0)</f>
        <v>#N/A</v>
      </c>
      <c r="BZ34" s="32" t="str">
        <f t="shared" si="91"/>
        <v>0</v>
      </c>
      <c r="CB34" s="59" t="str">
        <f>CONCATENATE(L34,".",N34)</f>
        <v>.</v>
      </c>
      <c r="CC34" s="60" t="e">
        <f>VLOOKUP(CB34,Лист1!$CK:$CK,1,0)</f>
        <v>#N/A</v>
      </c>
      <c r="CD34" s="49" t="e">
        <f>IF(CB34=CC34,1,0)</f>
        <v>#N/A</v>
      </c>
      <c r="CE34" s="32" t="str">
        <f t="shared" si="94"/>
        <v>0</v>
      </c>
    </row>
    <row r="35" spans="1:83" x14ac:dyDescent="0.25">
      <c r="A35" s="23" t="str">
        <f>CONCATENATE(C35,".",D35)</f>
        <v>.</v>
      </c>
      <c r="B35" s="70">
        <v>7</v>
      </c>
      <c r="C35" s="418"/>
      <c r="D35" s="419"/>
      <c r="E35" s="420"/>
      <c r="F35" s="418"/>
      <c r="G35" s="421"/>
      <c r="H35" s="418"/>
      <c r="I35" s="420"/>
      <c r="J35" s="418"/>
      <c r="K35" s="420"/>
      <c r="L35" s="418"/>
      <c r="M35" s="422"/>
      <c r="N35" s="423"/>
      <c r="O35" s="436"/>
      <c r="P35" s="424"/>
      <c r="Q35" s="437"/>
      <c r="R35" s="186"/>
      <c r="S35" s="104"/>
      <c r="T35" s="180" t="str">
        <f>IF(OR(W35="",W35="0"),"",W35)</f>
        <v/>
      </c>
      <c r="U35" s="189" t="str">
        <f>IF(R35="","",IF(NOT(AC35=0),"Ошибка в строке",""))</f>
        <v/>
      </c>
      <c r="W35" s="123" t="str">
        <f>IF(OR(ISNA(X35),NOT(AC35=0)),"0",X35)</f>
        <v>0</v>
      </c>
      <c r="X35" s="120" t="str">
        <f>IF(OR(R35="",R35=0),"",ORDER!H61)</f>
        <v/>
      </c>
      <c r="Y35" s="60" t="str">
        <f>CONCATENATE(C35,".",E35,".",F35)</f>
        <v>..</v>
      </c>
      <c r="AB35" s="31">
        <f>AG35+AL35+AQ35+AV35+BA35+BF35+BK35+BP35+BU35+BZ35+CE35</f>
        <v>0</v>
      </c>
      <c r="AC35" s="68">
        <f t="shared" si="61"/>
        <v>11</v>
      </c>
      <c r="AD35" s="59" t="str">
        <f>CONCATENATE(C35,".",D35)</f>
        <v>.</v>
      </c>
      <c r="AE35" s="60" t="e">
        <f>VLOOKUP(AD35,Лист1!$AW:$AW,1,0)</f>
        <v>#N/A</v>
      </c>
      <c r="AF35" s="49" t="e">
        <f>IF(AD35=AE35,1,0)</f>
        <v>#N/A</v>
      </c>
      <c r="AG35" s="32" t="str">
        <f t="shared" si="64"/>
        <v>0</v>
      </c>
      <c r="AI35" s="59" t="str">
        <f t="shared" si="95"/>
        <v>..</v>
      </c>
      <c r="AJ35" s="60" t="e">
        <f>VLOOKUP(AI35,Лист1!$BA:$BA,1,0)</f>
        <v>#N/A</v>
      </c>
      <c r="AK35" s="49" t="e">
        <f>IF(AI35=AJ35,1,0)</f>
        <v>#N/A</v>
      </c>
      <c r="AL35" s="32" t="str">
        <f t="shared" si="67"/>
        <v>0</v>
      </c>
      <c r="AN35" s="59" t="str">
        <f t="shared" si="96"/>
        <v>.</v>
      </c>
      <c r="AO35" s="60" t="e">
        <f>VLOOKUP(AN35,Лист1!$BE:$BE,1,0)</f>
        <v>#N/A</v>
      </c>
      <c r="AP35" s="49" t="e">
        <f>IF(AN35=AO35,1,0)</f>
        <v>#N/A</v>
      </c>
      <c r="AQ35" s="32" t="str">
        <f t="shared" si="70"/>
        <v>0</v>
      </c>
      <c r="AS35" s="59" t="str">
        <f>CONCATENATE(F35,".",G35,)</f>
        <v>.</v>
      </c>
      <c r="AT35" s="60" t="e">
        <f>VLOOKUP(AS35,Лист1!$BI:$BI,1,0)</f>
        <v>#N/A</v>
      </c>
      <c r="AU35" s="49" t="e">
        <f>IF(AS35=AT35,1,0)</f>
        <v>#N/A</v>
      </c>
      <c r="AV35" s="32" t="str">
        <f t="shared" si="73"/>
        <v>0</v>
      </c>
      <c r="AX35" s="59" t="str">
        <f>CONCATENATE(C35,".",H35,)</f>
        <v>.</v>
      </c>
      <c r="AY35" s="60" t="e">
        <f>VLOOKUP(AX35,Лист1!$BM:$BM,1,0)</f>
        <v>#N/A</v>
      </c>
      <c r="AZ35" s="49" t="e">
        <f>IF(AX35=AY35,1,0)</f>
        <v>#N/A</v>
      </c>
      <c r="BA35" s="32" t="str">
        <f t="shared" si="76"/>
        <v>0</v>
      </c>
      <c r="BC35" s="59" t="str">
        <f>CONCATENATE(H35,".",I35,)</f>
        <v>.</v>
      </c>
      <c r="BD35" s="60" t="e">
        <f>VLOOKUP(BC35,Лист1!$BQ:$BQ,1,0)</f>
        <v>#N/A</v>
      </c>
      <c r="BE35" s="49" t="e">
        <f>IF(BC35=BD35,1,0)</f>
        <v>#N/A</v>
      </c>
      <c r="BF35" s="32" t="str">
        <f t="shared" si="79"/>
        <v>0</v>
      </c>
      <c r="BH35" s="59" t="str">
        <f>CONCATENATE(C35,".",D35,".",J35)</f>
        <v>..</v>
      </c>
      <c r="BI35" s="60" t="e">
        <f>VLOOKUP(BH35,Лист1!$BU:$BU,1,0)</f>
        <v>#N/A</v>
      </c>
      <c r="BJ35" s="49" t="e">
        <f>IF(BH35=BI35,1,0)</f>
        <v>#N/A</v>
      </c>
      <c r="BK35" s="32" t="str">
        <f t="shared" si="82"/>
        <v>0</v>
      </c>
      <c r="BM35" s="59" t="str">
        <f>CONCATENATE(C35,".",D35,".",K35)</f>
        <v>..</v>
      </c>
      <c r="BN35" s="60" t="e">
        <f>VLOOKUP(BM35,Лист1!$BY:$BY,1,0)</f>
        <v>#N/A</v>
      </c>
      <c r="BO35" s="49" t="e">
        <f>IF(BM35=BN35,1,0)</f>
        <v>#N/A</v>
      </c>
      <c r="BP35" s="32" t="str">
        <f t="shared" si="85"/>
        <v>0</v>
      </c>
      <c r="BR35" s="59" t="str">
        <f>CONCATENATE(C35,".",E35,".",F35,".",L35)</f>
        <v>...</v>
      </c>
      <c r="BS35" s="60" t="e">
        <f>VLOOKUP(BR35,Лист1!$CC:$CC,1,0)</f>
        <v>#N/A</v>
      </c>
      <c r="BT35" s="49" t="e">
        <f>IF(BR35=BS35,1,0)</f>
        <v>#N/A</v>
      </c>
      <c r="BU35" s="32" t="str">
        <f t="shared" si="88"/>
        <v>0</v>
      </c>
      <c r="BW35" s="59" t="str">
        <f t="shared" si="89"/>
        <v>...</v>
      </c>
      <c r="BX35" s="60" t="e">
        <f>VLOOKUP(BW35,Лист1!$CG:$CG,1,0)</f>
        <v>#N/A</v>
      </c>
      <c r="BY35" s="49" t="e">
        <f>IF(BW35=BX35,1,0)</f>
        <v>#N/A</v>
      </c>
      <c r="BZ35" s="32" t="str">
        <f t="shared" si="91"/>
        <v>0</v>
      </c>
      <c r="CB35" s="59" t="str">
        <f>CONCATENATE(L35,".",N35)</f>
        <v>.</v>
      </c>
      <c r="CC35" s="60" t="e">
        <f>VLOOKUP(CB35,Лист1!$CK:$CK,1,0)</f>
        <v>#N/A</v>
      </c>
      <c r="CD35" s="49" t="e">
        <f>IF(CB35=CC35,1,0)</f>
        <v>#N/A</v>
      </c>
      <c r="CE35" s="32" t="str">
        <f t="shared" si="94"/>
        <v>0</v>
      </c>
    </row>
    <row r="36" spans="1:83" x14ac:dyDescent="0.25">
      <c r="A36" s="23" t="str">
        <f>CONCATENATE(C36,".",D36)</f>
        <v>.</v>
      </c>
      <c r="B36" s="70">
        <v>8</v>
      </c>
      <c r="C36" s="418"/>
      <c r="D36" s="419"/>
      <c r="E36" s="420"/>
      <c r="F36" s="418"/>
      <c r="G36" s="421"/>
      <c r="H36" s="418"/>
      <c r="I36" s="420"/>
      <c r="J36" s="418"/>
      <c r="K36" s="420"/>
      <c r="L36" s="418"/>
      <c r="M36" s="422"/>
      <c r="N36" s="423"/>
      <c r="O36" s="438"/>
      <c r="P36" s="439"/>
      <c r="Q36" s="423"/>
      <c r="R36" s="187"/>
      <c r="S36" s="104"/>
      <c r="T36" s="180" t="str">
        <f>IF(OR(W36="",W36="0"),"",W36)</f>
        <v/>
      </c>
      <c r="U36" s="189" t="str">
        <f>IF(R36="","",IF(NOT(AC36=0),"Ошибка в строке",""))</f>
        <v/>
      </c>
      <c r="W36" s="123" t="str">
        <f>IF(OR(ISNA(X36),NOT(AC36=0)),"0",X36)</f>
        <v>0</v>
      </c>
      <c r="X36" s="120" t="str">
        <f>IF(OR(R36="",R36=0),"",ORDER!H62)</f>
        <v/>
      </c>
      <c r="Y36" s="60" t="str">
        <f>CONCATENATE(C36,".",E36,".",F36)</f>
        <v>..</v>
      </c>
      <c r="AB36" s="31">
        <f>AG36+AL36+AQ36+AV36+BA36+BF36+BK36+BP36+BU36+BZ36+CE36</f>
        <v>0</v>
      </c>
      <c r="AC36" s="68">
        <f t="shared" si="61"/>
        <v>11</v>
      </c>
      <c r="AD36" s="59" t="str">
        <f>CONCATENATE(C36,".",D36)</f>
        <v>.</v>
      </c>
      <c r="AE36" s="60" t="e">
        <f>VLOOKUP(AD36,Лист1!$AW:$AW,1,0)</f>
        <v>#N/A</v>
      </c>
      <c r="AF36" s="49" t="e">
        <f>IF(AD36=AE36,1,0)</f>
        <v>#N/A</v>
      </c>
      <c r="AG36" s="32" t="str">
        <f t="shared" si="64"/>
        <v>0</v>
      </c>
      <c r="AI36" s="59" t="str">
        <f t="shared" si="95"/>
        <v>..</v>
      </c>
      <c r="AJ36" s="60" t="e">
        <f>VLOOKUP(AI36,Лист1!$BA:$BA,1,0)</f>
        <v>#N/A</v>
      </c>
      <c r="AK36" s="49" t="e">
        <f>IF(AI36=AJ36,1,0)</f>
        <v>#N/A</v>
      </c>
      <c r="AL36" s="32" t="str">
        <f t="shared" si="67"/>
        <v>0</v>
      </c>
      <c r="AN36" s="59" t="str">
        <f t="shared" si="96"/>
        <v>.</v>
      </c>
      <c r="AO36" s="60" t="e">
        <f>VLOOKUP(AN36,Лист1!$BE:$BE,1,0)</f>
        <v>#N/A</v>
      </c>
      <c r="AP36" s="49" t="e">
        <f>IF(AN36=AO36,1,0)</f>
        <v>#N/A</v>
      </c>
      <c r="AQ36" s="32" t="str">
        <f t="shared" si="70"/>
        <v>0</v>
      </c>
      <c r="AS36" s="59" t="str">
        <f>CONCATENATE(F36,".",G36,)</f>
        <v>.</v>
      </c>
      <c r="AT36" s="60" t="e">
        <f>VLOOKUP(AS36,Лист1!$BI:$BI,1,0)</f>
        <v>#N/A</v>
      </c>
      <c r="AU36" s="49" t="e">
        <f>IF(AS36=AT36,1,0)</f>
        <v>#N/A</v>
      </c>
      <c r="AV36" s="32" t="str">
        <f t="shared" si="73"/>
        <v>0</v>
      </c>
      <c r="AX36" s="59" t="str">
        <f>CONCATENATE(C36,".",H36,)</f>
        <v>.</v>
      </c>
      <c r="AY36" s="60" t="e">
        <f>VLOOKUP(AX36,Лист1!$BM:$BM,1,0)</f>
        <v>#N/A</v>
      </c>
      <c r="AZ36" s="49" t="e">
        <f>IF(AX36=AY36,1,0)</f>
        <v>#N/A</v>
      </c>
      <c r="BA36" s="32" t="str">
        <f t="shared" si="76"/>
        <v>0</v>
      </c>
      <c r="BC36" s="59" t="str">
        <f>CONCATENATE(H36,".",I36,)</f>
        <v>.</v>
      </c>
      <c r="BD36" s="60" t="e">
        <f>VLOOKUP(BC36,Лист1!$BQ:$BQ,1,0)</f>
        <v>#N/A</v>
      </c>
      <c r="BE36" s="49" t="e">
        <f>IF(BC36=BD36,1,0)</f>
        <v>#N/A</v>
      </c>
      <c r="BF36" s="32" t="str">
        <f t="shared" si="79"/>
        <v>0</v>
      </c>
      <c r="BH36" s="59" t="str">
        <f>CONCATENATE(C36,".",D36,".",J36)</f>
        <v>..</v>
      </c>
      <c r="BI36" s="60" t="e">
        <f>VLOOKUP(BH36,Лист1!$BU:$BU,1,0)</f>
        <v>#N/A</v>
      </c>
      <c r="BJ36" s="49" t="e">
        <f>IF(BH36=BI36,1,0)</f>
        <v>#N/A</v>
      </c>
      <c r="BK36" s="32" t="str">
        <f t="shared" si="82"/>
        <v>0</v>
      </c>
      <c r="BM36" s="59" t="str">
        <f>CONCATENATE(C36,".",D36,".",K36)</f>
        <v>..</v>
      </c>
      <c r="BN36" s="60" t="e">
        <f>VLOOKUP(BM36,Лист1!$BY:$BY,1,0)</f>
        <v>#N/A</v>
      </c>
      <c r="BO36" s="49" t="e">
        <f>IF(BM36=BN36,1,0)</f>
        <v>#N/A</v>
      </c>
      <c r="BP36" s="32" t="str">
        <f t="shared" si="85"/>
        <v>0</v>
      </c>
      <c r="BR36" s="59" t="str">
        <f>CONCATENATE(C36,".",E36,".",F36,".",L36)</f>
        <v>...</v>
      </c>
      <c r="BS36" s="60" t="e">
        <f>VLOOKUP(BR36,Лист1!$CC:$CC,1,0)</f>
        <v>#N/A</v>
      </c>
      <c r="BT36" s="49" t="e">
        <f>IF(BR36=BS36,1,0)</f>
        <v>#N/A</v>
      </c>
      <c r="BU36" s="32" t="str">
        <f t="shared" si="88"/>
        <v>0</v>
      </c>
      <c r="BW36" s="59" t="str">
        <f t="shared" si="89"/>
        <v>...</v>
      </c>
      <c r="BX36" s="60" t="e">
        <f>VLOOKUP(BW36,Лист1!$CG:$CG,1,0)</f>
        <v>#N/A</v>
      </c>
      <c r="BY36" s="49" t="e">
        <f>IF(BW36=BX36,1,0)</f>
        <v>#N/A</v>
      </c>
      <c r="BZ36" s="32" t="str">
        <f t="shared" si="91"/>
        <v>0</v>
      </c>
      <c r="CB36" s="59" t="str">
        <f>CONCATENATE(L36,".",N36)</f>
        <v>.</v>
      </c>
      <c r="CC36" s="60" t="e">
        <f>VLOOKUP(CB36,Лист1!$CK:$CK,1,0)</f>
        <v>#N/A</v>
      </c>
      <c r="CD36" s="49" t="e">
        <f>IF(CB36=CC36,1,0)</f>
        <v>#N/A</v>
      </c>
      <c r="CE36" s="32" t="str">
        <f t="shared" si="94"/>
        <v>0</v>
      </c>
    </row>
    <row r="37" spans="1:83" x14ac:dyDescent="0.25">
      <c r="A37" s="23" t="str">
        <f t="shared" si="56"/>
        <v>.</v>
      </c>
      <c r="B37" s="70">
        <v>9</v>
      </c>
      <c r="C37" s="418"/>
      <c r="D37" s="419"/>
      <c r="E37" s="420"/>
      <c r="F37" s="418"/>
      <c r="G37" s="421"/>
      <c r="H37" s="418"/>
      <c r="I37" s="420"/>
      <c r="J37" s="418"/>
      <c r="K37" s="420"/>
      <c r="L37" s="418"/>
      <c r="M37" s="422"/>
      <c r="N37" s="423"/>
      <c r="O37" s="436"/>
      <c r="P37" s="424"/>
      <c r="Q37" s="437"/>
      <c r="R37" s="186"/>
      <c r="S37" s="105"/>
      <c r="T37" s="180" t="str">
        <f t="shared" si="57"/>
        <v/>
      </c>
      <c r="U37" s="189" t="str">
        <f t="shared" si="55"/>
        <v/>
      </c>
      <c r="W37" s="123" t="str">
        <f t="shared" si="58"/>
        <v>0</v>
      </c>
      <c r="X37" s="120" t="str">
        <f>IF(OR(R37="",R37=0),"",ORDER!H63)</f>
        <v/>
      </c>
      <c r="Y37" s="60" t="str">
        <f t="shared" si="59"/>
        <v>..</v>
      </c>
      <c r="AB37" s="31">
        <f t="shared" si="60"/>
        <v>0</v>
      </c>
      <c r="AC37" s="68">
        <f t="shared" si="61"/>
        <v>11</v>
      </c>
      <c r="AD37" s="59" t="str">
        <f t="shared" si="62"/>
        <v>.</v>
      </c>
      <c r="AE37" s="60" t="e">
        <f>VLOOKUP(AD37,Лист1!$AW:$AW,1,0)</f>
        <v>#N/A</v>
      </c>
      <c r="AF37" s="49" t="e">
        <f t="shared" si="63"/>
        <v>#N/A</v>
      </c>
      <c r="AG37" s="32" t="str">
        <f t="shared" si="64"/>
        <v>0</v>
      </c>
      <c r="AI37" s="59" t="str">
        <f t="shared" si="65"/>
        <v>..</v>
      </c>
      <c r="AJ37" s="60" t="e">
        <f>VLOOKUP(AI37,Лист1!$BA:$BA,1,0)</f>
        <v>#N/A</v>
      </c>
      <c r="AK37" s="49" t="e">
        <f t="shared" si="66"/>
        <v>#N/A</v>
      </c>
      <c r="AL37" s="32" t="str">
        <f t="shared" si="67"/>
        <v>0</v>
      </c>
      <c r="AN37" s="59" t="str">
        <f t="shared" si="68"/>
        <v>.</v>
      </c>
      <c r="AO37" s="60" t="e">
        <f>VLOOKUP(AN37,Лист1!$BE:$BE,1,0)</f>
        <v>#N/A</v>
      </c>
      <c r="AP37" s="49" t="e">
        <f t="shared" si="69"/>
        <v>#N/A</v>
      </c>
      <c r="AQ37" s="32" t="str">
        <f t="shared" si="70"/>
        <v>0</v>
      </c>
      <c r="AS37" s="59" t="str">
        <f t="shared" si="71"/>
        <v>.</v>
      </c>
      <c r="AT37" s="60" t="e">
        <f>VLOOKUP(AS37,Лист1!$BI:$BI,1,0)</f>
        <v>#N/A</v>
      </c>
      <c r="AU37" s="49" t="e">
        <f t="shared" si="72"/>
        <v>#N/A</v>
      </c>
      <c r="AV37" s="32" t="str">
        <f t="shared" si="73"/>
        <v>0</v>
      </c>
      <c r="AX37" s="59" t="str">
        <f t="shared" si="74"/>
        <v>.</v>
      </c>
      <c r="AY37" s="60" t="e">
        <f>VLOOKUP(AX37,Лист1!$BM:$BM,1,0)</f>
        <v>#N/A</v>
      </c>
      <c r="AZ37" s="49" t="e">
        <f t="shared" si="75"/>
        <v>#N/A</v>
      </c>
      <c r="BA37" s="32" t="str">
        <f t="shared" si="76"/>
        <v>0</v>
      </c>
      <c r="BC37" s="59" t="str">
        <f t="shared" si="77"/>
        <v>.</v>
      </c>
      <c r="BD37" s="60" t="e">
        <f>VLOOKUP(BC37,Лист1!$BQ:$BQ,1,0)</f>
        <v>#N/A</v>
      </c>
      <c r="BE37" s="49" t="e">
        <f t="shared" si="78"/>
        <v>#N/A</v>
      </c>
      <c r="BF37" s="32" t="str">
        <f t="shared" si="79"/>
        <v>0</v>
      </c>
      <c r="BH37" s="59" t="str">
        <f t="shared" si="80"/>
        <v>..</v>
      </c>
      <c r="BI37" s="60" t="e">
        <f>VLOOKUP(BH37,Лист1!$BU:$BU,1,0)</f>
        <v>#N/A</v>
      </c>
      <c r="BJ37" s="49" t="e">
        <f t="shared" si="81"/>
        <v>#N/A</v>
      </c>
      <c r="BK37" s="32" t="str">
        <f t="shared" si="82"/>
        <v>0</v>
      </c>
      <c r="BM37" s="59" t="str">
        <f t="shared" si="83"/>
        <v>..</v>
      </c>
      <c r="BN37" s="60" t="e">
        <f>VLOOKUP(BM37,Лист1!$BY:$BY,1,0)</f>
        <v>#N/A</v>
      </c>
      <c r="BO37" s="49" t="e">
        <f t="shared" si="84"/>
        <v>#N/A</v>
      </c>
      <c r="BP37" s="32" t="str">
        <f t="shared" si="85"/>
        <v>0</v>
      </c>
      <c r="BR37" s="59" t="str">
        <f t="shared" si="86"/>
        <v>...</v>
      </c>
      <c r="BS37" s="60" t="e">
        <f>VLOOKUP(BR37,Лист1!$CC:$CC,1,0)</f>
        <v>#N/A</v>
      </c>
      <c r="BT37" s="49" t="e">
        <f t="shared" si="87"/>
        <v>#N/A</v>
      </c>
      <c r="BU37" s="32" t="str">
        <f t="shared" si="88"/>
        <v>0</v>
      </c>
      <c r="BW37" s="59" t="str">
        <f t="shared" si="89"/>
        <v>...</v>
      </c>
      <c r="BX37" s="60" t="e">
        <f>VLOOKUP(BW37,Лист1!$CG:$CG,1,0)</f>
        <v>#N/A</v>
      </c>
      <c r="BY37" s="49" t="e">
        <f t="shared" si="90"/>
        <v>#N/A</v>
      </c>
      <c r="BZ37" s="32" t="str">
        <f t="shared" si="91"/>
        <v>0</v>
      </c>
      <c r="CB37" s="59" t="str">
        <f t="shared" si="92"/>
        <v>.</v>
      </c>
      <c r="CC37" s="60" t="e">
        <f>VLOOKUP(CB37,Лист1!$CK:$CK,1,0)</f>
        <v>#N/A</v>
      </c>
      <c r="CD37" s="49" t="e">
        <f t="shared" si="93"/>
        <v>#N/A</v>
      </c>
      <c r="CE37" s="32" t="str">
        <f t="shared" si="94"/>
        <v>0</v>
      </c>
    </row>
    <row r="38" spans="1:83" x14ac:dyDescent="0.25">
      <c r="A38" s="23" t="str">
        <f t="shared" si="56"/>
        <v>.</v>
      </c>
      <c r="B38" s="70">
        <v>10</v>
      </c>
      <c r="C38" s="432"/>
      <c r="D38" s="433"/>
      <c r="E38" s="434"/>
      <c r="F38" s="432"/>
      <c r="G38" s="435"/>
      <c r="H38" s="432"/>
      <c r="I38" s="434"/>
      <c r="J38" s="432"/>
      <c r="K38" s="434"/>
      <c r="L38" s="418"/>
      <c r="M38" s="422"/>
      <c r="N38" s="424"/>
      <c r="O38" s="438"/>
      <c r="P38" s="439"/>
      <c r="Q38" s="423"/>
      <c r="R38" s="187"/>
      <c r="S38" s="104"/>
      <c r="T38" s="180" t="str">
        <f t="shared" si="57"/>
        <v/>
      </c>
      <c r="U38" s="189" t="str">
        <f t="shared" si="55"/>
        <v/>
      </c>
      <c r="W38" s="123" t="str">
        <f t="shared" si="58"/>
        <v>0</v>
      </c>
      <c r="X38" s="120" t="str">
        <f>IF(OR(R38="",R38=0),"",ORDER!H64)</f>
        <v/>
      </c>
      <c r="Y38" s="60" t="str">
        <f t="shared" si="59"/>
        <v>..</v>
      </c>
      <c r="AB38" s="31">
        <f t="shared" si="60"/>
        <v>0</v>
      </c>
      <c r="AC38" s="68">
        <f t="shared" si="61"/>
        <v>11</v>
      </c>
      <c r="AD38" s="59" t="str">
        <f t="shared" si="62"/>
        <v>.</v>
      </c>
      <c r="AE38" s="60" t="e">
        <f>VLOOKUP(AD38,Лист1!$AW:$AW,1,0)</f>
        <v>#N/A</v>
      </c>
      <c r="AF38" s="49" t="e">
        <f t="shared" si="63"/>
        <v>#N/A</v>
      </c>
      <c r="AG38" s="32" t="str">
        <f t="shared" si="64"/>
        <v>0</v>
      </c>
      <c r="AI38" s="59" t="str">
        <f t="shared" si="65"/>
        <v>..</v>
      </c>
      <c r="AJ38" s="60" t="e">
        <f>VLOOKUP(AI38,Лист1!$BA:$BA,1,0)</f>
        <v>#N/A</v>
      </c>
      <c r="AK38" s="49" t="e">
        <f t="shared" si="66"/>
        <v>#N/A</v>
      </c>
      <c r="AL38" s="32" t="str">
        <f t="shared" si="67"/>
        <v>0</v>
      </c>
      <c r="AN38" s="59" t="str">
        <f t="shared" si="68"/>
        <v>.</v>
      </c>
      <c r="AO38" s="60" t="e">
        <f>VLOOKUP(AN38,Лист1!$BE:$BE,1,0)</f>
        <v>#N/A</v>
      </c>
      <c r="AP38" s="49" t="e">
        <f t="shared" si="69"/>
        <v>#N/A</v>
      </c>
      <c r="AQ38" s="32" t="str">
        <f t="shared" si="70"/>
        <v>0</v>
      </c>
      <c r="AS38" s="59" t="str">
        <f t="shared" si="71"/>
        <v>.</v>
      </c>
      <c r="AT38" s="60" t="e">
        <f>VLOOKUP(AS38,Лист1!$BI:$BI,1,0)</f>
        <v>#N/A</v>
      </c>
      <c r="AU38" s="49" t="e">
        <f t="shared" si="72"/>
        <v>#N/A</v>
      </c>
      <c r="AV38" s="32" t="str">
        <f t="shared" si="73"/>
        <v>0</v>
      </c>
      <c r="AX38" s="59" t="str">
        <f t="shared" si="74"/>
        <v>.</v>
      </c>
      <c r="AY38" s="60" t="e">
        <f>VLOOKUP(AX38,Лист1!$BM:$BM,1,0)</f>
        <v>#N/A</v>
      </c>
      <c r="AZ38" s="49" t="e">
        <f t="shared" si="75"/>
        <v>#N/A</v>
      </c>
      <c r="BA38" s="32" t="str">
        <f t="shared" si="76"/>
        <v>0</v>
      </c>
      <c r="BC38" s="59" t="str">
        <f t="shared" si="77"/>
        <v>.</v>
      </c>
      <c r="BD38" s="60" t="e">
        <f>VLOOKUP(BC38,Лист1!$BQ:$BQ,1,0)</f>
        <v>#N/A</v>
      </c>
      <c r="BE38" s="49" t="e">
        <f t="shared" si="78"/>
        <v>#N/A</v>
      </c>
      <c r="BF38" s="32" t="str">
        <f t="shared" si="79"/>
        <v>0</v>
      </c>
      <c r="BH38" s="59" t="str">
        <f t="shared" si="80"/>
        <v>..</v>
      </c>
      <c r="BI38" s="60" t="e">
        <f>VLOOKUP(BH38,Лист1!$BU:$BU,1,0)</f>
        <v>#N/A</v>
      </c>
      <c r="BJ38" s="49" t="e">
        <f t="shared" si="81"/>
        <v>#N/A</v>
      </c>
      <c r="BK38" s="32" t="str">
        <f t="shared" si="82"/>
        <v>0</v>
      </c>
      <c r="BM38" s="59" t="str">
        <f t="shared" si="83"/>
        <v>..</v>
      </c>
      <c r="BN38" s="60" t="e">
        <f>VLOOKUP(BM38,Лист1!$BY:$BY,1,0)</f>
        <v>#N/A</v>
      </c>
      <c r="BO38" s="49" t="e">
        <f t="shared" si="84"/>
        <v>#N/A</v>
      </c>
      <c r="BP38" s="32" t="str">
        <f t="shared" si="85"/>
        <v>0</v>
      </c>
      <c r="BR38" s="59" t="str">
        <f t="shared" si="86"/>
        <v>...</v>
      </c>
      <c r="BS38" s="60" t="e">
        <f>VLOOKUP(BR38,Лист1!$CC:$CC,1,0)</f>
        <v>#N/A</v>
      </c>
      <c r="BT38" s="49" t="e">
        <f t="shared" si="87"/>
        <v>#N/A</v>
      </c>
      <c r="BU38" s="32" t="str">
        <f t="shared" si="88"/>
        <v>0</v>
      </c>
      <c r="BW38" s="59" t="str">
        <f t="shared" si="89"/>
        <v>...</v>
      </c>
      <c r="BX38" s="60" t="e">
        <f>VLOOKUP(BW38,Лист1!$CG:$CG,1,0)</f>
        <v>#N/A</v>
      </c>
      <c r="BY38" s="49" t="e">
        <f t="shared" si="90"/>
        <v>#N/A</v>
      </c>
      <c r="BZ38" s="32" t="str">
        <f t="shared" si="91"/>
        <v>0</v>
      </c>
      <c r="CB38" s="59" t="str">
        <f t="shared" si="92"/>
        <v>.</v>
      </c>
      <c r="CC38" s="60" t="e">
        <f>VLOOKUP(CB38,Лист1!$CK:$CK,1,0)</f>
        <v>#N/A</v>
      </c>
      <c r="CD38" s="49" t="e">
        <f t="shared" si="93"/>
        <v>#N/A</v>
      </c>
      <c r="CE38" s="32" t="str">
        <f t="shared" si="94"/>
        <v>0</v>
      </c>
    </row>
    <row r="39" spans="1:83" x14ac:dyDescent="0.25">
      <c r="A39" s="23" t="str">
        <f t="shared" si="56"/>
        <v>.</v>
      </c>
      <c r="B39" s="70">
        <v>11</v>
      </c>
      <c r="C39" s="418"/>
      <c r="D39" s="419"/>
      <c r="E39" s="420"/>
      <c r="F39" s="418"/>
      <c r="G39" s="421"/>
      <c r="H39" s="418"/>
      <c r="I39" s="420"/>
      <c r="J39" s="418"/>
      <c r="K39" s="420"/>
      <c r="L39" s="418"/>
      <c r="M39" s="422"/>
      <c r="N39" s="423"/>
      <c r="O39" s="436"/>
      <c r="P39" s="424"/>
      <c r="Q39" s="437"/>
      <c r="R39" s="186"/>
      <c r="S39" s="104"/>
      <c r="T39" s="180" t="str">
        <f t="shared" si="57"/>
        <v/>
      </c>
      <c r="U39" s="189" t="str">
        <f t="shared" si="55"/>
        <v/>
      </c>
      <c r="W39" s="123" t="str">
        <f t="shared" si="58"/>
        <v>0</v>
      </c>
      <c r="X39" s="120" t="str">
        <f>IF(OR(R39="",R39=0),"",ORDER!H65)</f>
        <v/>
      </c>
      <c r="Y39" s="60" t="str">
        <f t="shared" si="59"/>
        <v>..</v>
      </c>
      <c r="AB39" s="31">
        <f t="shared" si="60"/>
        <v>0</v>
      </c>
      <c r="AC39" s="68">
        <f t="shared" si="61"/>
        <v>11</v>
      </c>
      <c r="AD39" s="59" t="str">
        <f t="shared" si="62"/>
        <v>.</v>
      </c>
      <c r="AE39" s="60" t="e">
        <f>VLOOKUP(AD39,Лист1!$AW:$AW,1,0)</f>
        <v>#N/A</v>
      </c>
      <c r="AF39" s="49" t="e">
        <f t="shared" si="63"/>
        <v>#N/A</v>
      </c>
      <c r="AG39" s="32" t="str">
        <f t="shared" si="64"/>
        <v>0</v>
      </c>
      <c r="AI39" s="59" t="str">
        <f t="shared" si="65"/>
        <v>..</v>
      </c>
      <c r="AJ39" s="60" t="e">
        <f>VLOOKUP(AI39,Лист1!$BA:$BA,1,0)</f>
        <v>#N/A</v>
      </c>
      <c r="AK39" s="49" t="e">
        <f t="shared" si="66"/>
        <v>#N/A</v>
      </c>
      <c r="AL39" s="32" t="str">
        <f t="shared" si="67"/>
        <v>0</v>
      </c>
      <c r="AN39" s="59" t="str">
        <f t="shared" si="68"/>
        <v>.</v>
      </c>
      <c r="AO39" s="60" t="e">
        <f>VLOOKUP(AN39,Лист1!$BE:$BE,1,0)</f>
        <v>#N/A</v>
      </c>
      <c r="AP39" s="49" t="e">
        <f t="shared" si="69"/>
        <v>#N/A</v>
      </c>
      <c r="AQ39" s="32" t="str">
        <f t="shared" si="70"/>
        <v>0</v>
      </c>
      <c r="AS39" s="59" t="str">
        <f t="shared" si="71"/>
        <v>.</v>
      </c>
      <c r="AT39" s="60" t="e">
        <f>VLOOKUP(AS39,Лист1!$BI:$BI,1,0)</f>
        <v>#N/A</v>
      </c>
      <c r="AU39" s="49" t="e">
        <f t="shared" si="72"/>
        <v>#N/A</v>
      </c>
      <c r="AV39" s="32" t="str">
        <f t="shared" si="73"/>
        <v>0</v>
      </c>
      <c r="AX39" s="59" t="str">
        <f t="shared" si="74"/>
        <v>.</v>
      </c>
      <c r="AY39" s="60" t="e">
        <f>VLOOKUP(AX39,Лист1!$BM:$BM,1,0)</f>
        <v>#N/A</v>
      </c>
      <c r="AZ39" s="49" t="e">
        <f t="shared" si="75"/>
        <v>#N/A</v>
      </c>
      <c r="BA39" s="32" t="str">
        <f t="shared" si="76"/>
        <v>0</v>
      </c>
      <c r="BC39" s="59" t="str">
        <f t="shared" si="77"/>
        <v>.</v>
      </c>
      <c r="BD39" s="60" t="e">
        <f>VLOOKUP(BC39,Лист1!$BQ:$BQ,1,0)</f>
        <v>#N/A</v>
      </c>
      <c r="BE39" s="49" t="e">
        <f t="shared" si="78"/>
        <v>#N/A</v>
      </c>
      <c r="BF39" s="32" t="str">
        <f t="shared" si="79"/>
        <v>0</v>
      </c>
      <c r="BH39" s="59" t="str">
        <f t="shared" si="80"/>
        <v>..</v>
      </c>
      <c r="BI39" s="60" t="e">
        <f>VLOOKUP(BH39,Лист1!$BU:$BU,1,0)</f>
        <v>#N/A</v>
      </c>
      <c r="BJ39" s="49" t="e">
        <f t="shared" si="81"/>
        <v>#N/A</v>
      </c>
      <c r="BK39" s="32" t="str">
        <f t="shared" si="82"/>
        <v>0</v>
      </c>
      <c r="BM39" s="59" t="str">
        <f t="shared" si="83"/>
        <v>..</v>
      </c>
      <c r="BN39" s="60" t="e">
        <f>VLOOKUP(BM39,Лист1!$BY:$BY,1,0)</f>
        <v>#N/A</v>
      </c>
      <c r="BO39" s="49" t="e">
        <f t="shared" si="84"/>
        <v>#N/A</v>
      </c>
      <c r="BP39" s="32" t="str">
        <f t="shared" si="85"/>
        <v>0</v>
      </c>
      <c r="BR39" s="59" t="str">
        <f t="shared" si="86"/>
        <v>...</v>
      </c>
      <c r="BS39" s="60" t="e">
        <f>VLOOKUP(BR39,Лист1!$CC:$CC,1,0)</f>
        <v>#N/A</v>
      </c>
      <c r="BT39" s="49" t="e">
        <f t="shared" si="87"/>
        <v>#N/A</v>
      </c>
      <c r="BU39" s="32" t="str">
        <f t="shared" si="88"/>
        <v>0</v>
      </c>
      <c r="BW39" s="59" t="str">
        <f t="shared" si="89"/>
        <v>...</v>
      </c>
      <c r="BX39" s="60" t="e">
        <f>VLOOKUP(BW39,Лист1!$CG:$CG,1,0)</f>
        <v>#N/A</v>
      </c>
      <c r="BY39" s="49" t="e">
        <f t="shared" si="90"/>
        <v>#N/A</v>
      </c>
      <c r="BZ39" s="32" t="str">
        <f t="shared" si="91"/>
        <v>0</v>
      </c>
      <c r="CB39" s="59" t="str">
        <f t="shared" si="92"/>
        <v>.</v>
      </c>
      <c r="CC39" s="60" t="e">
        <f>VLOOKUP(CB39,Лист1!$CK:$CK,1,0)</f>
        <v>#N/A</v>
      </c>
      <c r="CD39" s="49" t="e">
        <f t="shared" si="93"/>
        <v>#N/A</v>
      </c>
      <c r="CE39" s="32" t="str">
        <f t="shared" si="94"/>
        <v>0</v>
      </c>
    </row>
    <row r="40" spans="1:83" x14ac:dyDescent="0.25">
      <c r="A40" s="23" t="str">
        <f t="shared" si="56"/>
        <v>.</v>
      </c>
      <c r="B40" s="70">
        <v>12</v>
      </c>
      <c r="C40" s="432"/>
      <c r="D40" s="433"/>
      <c r="E40" s="434"/>
      <c r="F40" s="432"/>
      <c r="G40" s="435"/>
      <c r="H40" s="432"/>
      <c r="I40" s="434"/>
      <c r="J40" s="432"/>
      <c r="K40" s="434"/>
      <c r="L40" s="418"/>
      <c r="M40" s="422"/>
      <c r="N40" s="424"/>
      <c r="O40" s="438"/>
      <c r="P40" s="439"/>
      <c r="Q40" s="423"/>
      <c r="R40" s="187"/>
      <c r="S40" s="104"/>
      <c r="T40" s="180" t="str">
        <f t="shared" si="57"/>
        <v/>
      </c>
      <c r="U40" s="189" t="str">
        <f t="shared" si="55"/>
        <v/>
      </c>
      <c r="W40" s="123" t="str">
        <f t="shared" si="58"/>
        <v>0</v>
      </c>
      <c r="X40" s="120" t="str">
        <f>IF(OR(R40="",R40=0),"",ORDER!H66)</f>
        <v/>
      </c>
      <c r="Y40" s="60" t="str">
        <f t="shared" si="59"/>
        <v>..</v>
      </c>
      <c r="AB40" s="31">
        <f t="shared" si="60"/>
        <v>0</v>
      </c>
      <c r="AC40" s="68">
        <f t="shared" si="61"/>
        <v>11</v>
      </c>
      <c r="AD40" s="59" t="str">
        <f t="shared" si="62"/>
        <v>.</v>
      </c>
      <c r="AE40" s="60" t="e">
        <f>VLOOKUP(AD40,Лист1!$AW:$AW,1,0)</f>
        <v>#N/A</v>
      </c>
      <c r="AF40" s="49" t="e">
        <f t="shared" si="63"/>
        <v>#N/A</v>
      </c>
      <c r="AG40" s="32" t="str">
        <f t="shared" si="64"/>
        <v>0</v>
      </c>
      <c r="AI40" s="59" t="str">
        <f t="shared" si="65"/>
        <v>..</v>
      </c>
      <c r="AJ40" s="60" t="e">
        <f>VLOOKUP(AI40,Лист1!$BA:$BA,1,0)</f>
        <v>#N/A</v>
      </c>
      <c r="AK40" s="49" t="e">
        <f t="shared" si="66"/>
        <v>#N/A</v>
      </c>
      <c r="AL40" s="32" t="str">
        <f t="shared" si="67"/>
        <v>0</v>
      </c>
      <c r="AN40" s="59" t="str">
        <f t="shared" si="68"/>
        <v>.</v>
      </c>
      <c r="AO40" s="60" t="e">
        <f>VLOOKUP(AN40,Лист1!$BE:$BE,1,0)</f>
        <v>#N/A</v>
      </c>
      <c r="AP40" s="49" t="e">
        <f t="shared" si="69"/>
        <v>#N/A</v>
      </c>
      <c r="AQ40" s="32" t="str">
        <f t="shared" si="70"/>
        <v>0</v>
      </c>
      <c r="AS40" s="59" t="str">
        <f t="shared" si="71"/>
        <v>.</v>
      </c>
      <c r="AT40" s="60" t="e">
        <f>VLOOKUP(AS40,Лист1!$BI:$BI,1,0)</f>
        <v>#N/A</v>
      </c>
      <c r="AU40" s="49" t="e">
        <f t="shared" si="72"/>
        <v>#N/A</v>
      </c>
      <c r="AV40" s="32" t="str">
        <f t="shared" si="73"/>
        <v>0</v>
      </c>
      <c r="AX40" s="59" t="str">
        <f t="shared" si="74"/>
        <v>.</v>
      </c>
      <c r="AY40" s="60" t="e">
        <f>VLOOKUP(AX40,Лист1!$BM:$BM,1,0)</f>
        <v>#N/A</v>
      </c>
      <c r="AZ40" s="49" t="e">
        <f t="shared" si="75"/>
        <v>#N/A</v>
      </c>
      <c r="BA40" s="32" t="str">
        <f t="shared" si="76"/>
        <v>0</v>
      </c>
      <c r="BC40" s="59" t="str">
        <f t="shared" si="77"/>
        <v>.</v>
      </c>
      <c r="BD40" s="60" t="e">
        <f>VLOOKUP(BC40,Лист1!$BQ:$BQ,1,0)</f>
        <v>#N/A</v>
      </c>
      <c r="BE40" s="49" t="e">
        <f t="shared" si="78"/>
        <v>#N/A</v>
      </c>
      <c r="BF40" s="32" t="str">
        <f t="shared" si="79"/>
        <v>0</v>
      </c>
      <c r="BH40" s="59" t="str">
        <f t="shared" si="80"/>
        <v>..</v>
      </c>
      <c r="BI40" s="60" t="e">
        <f>VLOOKUP(BH40,Лист1!$BU:$BU,1,0)</f>
        <v>#N/A</v>
      </c>
      <c r="BJ40" s="49" t="e">
        <f t="shared" si="81"/>
        <v>#N/A</v>
      </c>
      <c r="BK40" s="32" t="str">
        <f t="shared" si="82"/>
        <v>0</v>
      </c>
      <c r="BM40" s="59" t="str">
        <f t="shared" si="83"/>
        <v>..</v>
      </c>
      <c r="BN40" s="60" t="e">
        <f>VLOOKUP(BM40,Лист1!$BY:$BY,1,0)</f>
        <v>#N/A</v>
      </c>
      <c r="BO40" s="49" t="e">
        <f t="shared" si="84"/>
        <v>#N/A</v>
      </c>
      <c r="BP40" s="32" t="str">
        <f t="shared" si="85"/>
        <v>0</v>
      </c>
      <c r="BR40" s="59" t="str">
        <f t="shared" si="86"/>
        <v>...</v>
      </c>
      <c r="BS40" s="60" t="e">
        <f>VLOOKUP(BR40,Лист1!$CC:$CC,1,0)</f>
        <v>#N/A</v>
      </c>
      <c r="BT40" s="49" t="e">
        <f t="shared" si="87"/>
        <v>#N/A</v>
      </c>
      <c r="BU40" s="32" t="str">
        <f t="shared" si="88"/>
        <v>0</v>
      </c>
      <c r="BW40" s="59" t="str">
        <f t="shared" si="89"/>
        <v>...</v>
      </c>
      <c r="BX40" s="60" t="e">
        <f>VLOOKUP(BW40,Лист1!$CG:$CG,1,0)</f>
        <v>#N/A</v>
      </c>
      <c r="BY40" s="49" t="e">
        <f t="shared" si="90"/>
        <v>#N/A</v>
      </c>
      <c r="BZ40" s="32" t="str">
        <f t="shared" si="91"/>
        <v>0</v>
      </c>
      <c r="CB40" s="59" t="str">
        <f t="shared" si="92"/>
        <v>.</v>
      </c>
      <c r="CC40" s="60" t="e">
        <f>VLOOKUP(CB40,Лист1!$CK:$CK,1,0)</f>
        <v>#N/A</v>
      </c>
      <c r="CD40" s="49" t="e">
        <f t="shared" si="93"/>
        <v>#N/A</v>
      </c>
      <c r="CE40" s="32" t="str">
        <f t="shared" si="94"/>
        <v>0</v>
      </c>
    </row>
    <row r="41" spans="1:83" x14ac:dyDescent="0.25">
      <c r="A41" s="23" t="str">
        <f t="shared" si="56"/>
        <v>.</v>
      </c>
      <c r="B41" s="70">
        <v>13</v>
      </c>
      <c r="C41" s="418"/>
      <c r="D41" s="433"/>
      <c r="E41" s="434"/>
      <c r="F41" s="418"/>
      <c r="G41" s="421"/>
      <c r="H41" s="432"/>
      <c r="I41" s="434"/>
      <c r="J41" s="418"/>
      <c r="K41" s="420"/>
      <c r="L41" s="418"/>
      <c r="M41" s="422"/>
      <c r="N41" s="424"/>
      <c r="O41" s="438"/>
      <c r="P41" s="439"/>
      <c r="Q41" s="423"/>
      <c r="R41" s="187"/>
      <c r="S41" s="104"/>
      <c r="T41" s="180" t="str">
        <f t="shared" si="57"/>
        <v/>
      </c>
      <c r="U41" s="189" t="str">
        <f t="shared" si="55"/>
        <v/>
      </c>
      <c r="W41" s="123" t="str">
        <f t="shared" si="58"/>
        <v>0</v>
      </c>
      <c r="X41" s="120" t="str">
        <f>IF(OR(R41="",R41=0),"",ORDER!H67)</f>
        <v/>
      </c>
      <c r="Y41" s="60" t="str">
        <f t="shared" si="59"/>
        <v>..</v>
      </c>
      <c r="AB41" s="31">
        <f t="shared" si="60"/>
        <v>0</v>
      </c>
      <c r="AC41" s="68">
        <f t="shared" si="61"/>
        <v>11</v>
      </c>
      <c r="AD41" s="59" t="str">
        <f t="shared" si="62"/>
        <v>.</v>
      </c>
      <c r="AE41" s="60" t="e">
        <f>VLOOKUP(AD41,Лист1!$AW:$AW,1,0)</f>
        <v>#N/A</v>
      </c>
      <c r="AF41" s="49" t="e">
        <f t="shared" si="63"/>
        <v>#N/A</v>
      </c>
      <c r="AG41" s="32" t="str">
        <f t="shared" si="64"/>
        <v>0</v>
      </c>
      <c r="AI41" s="59" t="str">
        <f t="shared" si="65"/>
        <v>..</v>
      </c>
      <c r="AJ41" s="60" t="e">
        <f>VLOOKUP(AI41,Лист1!$BA:$BA,1,0)</f>
        <v>#N/A</v>
      </c>
      <c r="AK41" s="49" t="e">
        <f t="shared" si="66"/>
        <v>#N/A</v>
      </c>
      <c r="AL41" s="32" t="str">
        <f t="shared" si="67"/>
        <v>0</v>
      </c>
      <c r="AN41" s="59" t="str">
        <f t="shared" si="68"/>
        <v>.</v>
      </c>
      <c r="AO41" s="60" t="e">
        <f>VLOOKUP(AN41,Лист1!$BE:$BE,1,0)</f>
        <v>#N/A</v>
      </c>
      <c r="AP41" s="49" t="e">
        <f t="shared" si="69"/>
        <v>#N/A</v>
      </c>
      <c r="AQ41" s="32" t="str">
        <f t="shared" si="70"/>
        <v>0</v>
      </c>
      <c r="AS41" s="59" t="str">
        <f t="shared" si="71"/>
        <v>.</v>
      </c>
      <c r="AT41" s="60" t="e">
        <f>VLOOKUP(AS41,Лист1!$BI:$BI,1,0)</f>
        <v>#N/A</v>
      </c>
      <c r="AU41" s="49" t="e">
        <f t="shared" si="72"/>
        <v>#N/A</v>
      </c>
      <c r="AV41" s="32" t="str">
        <f t="shared" si="73"/>
        <v>0</v>
      </c>
      <c r="AX41" s="59" t="str">
        <f t="shared" si="74"/>
        <v>.</v>
      </c>
      <c r="AY41" s="60" t="e">
        <f>VLOOKUP(AX41,Лист1!$BM:$BM,1,0)</f>
        <v>#N/A</v>
      </c>
      <c r="AZ41" s="49" t="e">
        <f t="shared" si="75"/>
        <v>#N/A</v>
      </c>
      <c r="BA41" s="32" t="str">
        <f t="shared" si="76"/>
        <v>0</v>
      </c>
      <c r="BC41" s="59" t="str">
        <f t="shared" si="77"/>
        <v>.</v>
      </c>
      <c r="BD41" s="60" t="e">
        <f>VLOOKUP(BC41,Лист1!$BQ:$BQ,1,0)</f>
        <v>#N/A</v>
      </c>
      <c r="BE41" s="49" t="e">
        <f t="shared" si="78"/>
        <v>#N/A</v>
      </c>
      <c r="BF41" s="32" t="str">
        <f t="shared" si="79"/>
        <v>0</v>
      </c>
      <c r="BH41" s="59" t="str">
        <f t="shared" si="80"/>
        <v>..</v>
      </c>
      <c r="BI41" s="60" t="e">
        <f>VLOOKUP(BH41,Лист1!$BU:$BU,1,0)</f>
        <v>#N/A</v>
      </c>
      <c r="BJ41" s="49" t="e">
        <f t="shared" si="81"/>
        <v>#N/A</v>
      </c>
      <c r="BK41" s="32" t="str">
        <f t="shared" si="82"/>
        <v>0</v>
      </c>
      <c r="BM41" s="59" t="str">
        <f t="shared" si="83"/>
        <v>..</v>
      </c>
      <c r="BN41" s="60" t="e">
        <f>VLOOKUP(BM41,Лист1!$BY:$BY,1,0)</f>
        <v>#N/A</v>
      </c>
      <c r="BO41" s="49" t="e">
        <f t="shared" si="84"/>
        <v>#N/A</v>
      </c>
      <c r="BP41" s="32" t="str">
        <f t="shared" si="85"/>
        <v>0</v>
      </c>
      <c r="BR41" s="59" t="str">
        <f t="shared" si="86"/>
        <v>...</v>
      </c>
      <c r="BS41" s="60" t="e">
        <f>VLOOKUP(BR41,Лист1!$CC:$CC,1,0)</f>
        <v>#N/A</v>
      </c>
      <c r="BT41" s="49" t="e">
        <f t="shared" si="87"/>
        <v>#N/A</v>
      </c>
      <c r="BU41" s="32" t="str">
        <f t="shared" si="88"/>
        <v>0</v>
      </c>
      <c r="BW41" s="59" t="str">
        <f t="shared" si="89"/>
        <v>...</v>
      </c>
      <c r="BX41" s="60" t="e">
        <f>VLOOKUP(BW41,Лист1!$CG:$CG,1,0)</f>
        <v>#N/A</v>
      </c>
      <c r="BY41" s="49" t="e">
        <f t="shared" si="90"/>
        <v>#N/A</v>
      </c>
      <c r="BZ41" s="32" t="str">
        <f t="shared" si="91"/>
        <v>0</v>
      </c>
      <c r="CB41" s="59" t="str">
        <f t="shared" si="92"/>
        <v>.</v>
      </c>
      <c r="CC41" s="60" t="e">
        <f>VLOOKUP(CB41,Лист1!$CK:$CK,1,0)</f>
        <v>#N/A</v>
      </c>
      <c r="CD41" s="49" t="e">
        <f t="shared" si="93"/>
        <v>#N/A</v>
      </c>
      <c r="CE41" s="32" t="str">
        <f t="shared" si="94"/>
        <v>0</v>
      </c>
    </row>
    <row r="42" spans="1:83" x14ac:dyDescent="0.25">
      <c r="A42" s="23" t="str">
        <f t="shared" si="56"/>
        <v>.</v>
      </c>
      <c r="B42" s="70">
        <v>14</v>
      </c>
      <c r="C42" s="418"/>
      <c r="D42" s="433"/>
      <c r="E42" s="434"/>
      <c r="F42" s="418"/>
      <c r="G42" s="421"/>
      <c r="H42" s="432"/>
      <c r="I42" s="434"/>
      <c r="J42" s="418"/>
      <c r="K42" s="420"/>
      <c r="L42" s="418"/>
      <c r="M42" s="422"/>
      <c r="N42" s="424"/>
      <c r="O42" s="438"/>
      <c r="P42" s="439"/>
      <c r="Q42" s="423"/>
      <c r="R42" s="187"/>
      <c r="S42" s="104"/>
      <c r="T42" s="180" t="str">
        <f t="shared" si="57"/>
        <v/>
      </c>
      <c r="U42" s="189" t="str">
        <f t="shared" si="55"/>
        <v/>
      </c>
      <c r="W42" s="123" t="str">
        <f t="shared" si="58"/>
        <v>0</v>
      </c>
      <c r="X42" s="120" t="str">
        <f>IF(OR(R42="",R42=0),"",ORDER!H68)</f>
        <v/>
      </c>
      <c r="Y42" s="60" t="str">
        <f t="shared" si="59"/>
        <v>..</v>
      </c>
      <c r="AB42" s="31">
        <f t="shared" si="60"/>
        <v>0</v>
      </c>
      <c r="AC42" s="68">
        <f t="shared" si="61"/>
        <v>11</v>
      </c>
      <c r="AD42" s="59" t="str">
        <f t="shared" si="62"/>
        <v>.</v>
      </c>
      <c r="AE42" s="60" t="e">
        <f>VLOOKUP(AD42,Лист1!$AW:$AW,1,0)</f>
        <v>#N/A</v>
      </c>
      <c r="AF42" s="49" t="e">
        <f t="shared" si="63"/>
        <v>#N/A</v>
      </c>
      <c r="AG42" s="32" t="str">
        <f t="shared" si="64"/>
        <v>0</v>
      </c>
      <c r="AI42" s="59" t="str">
        <f t="shared" si="65"/>
        <v>..</v>
      </c>
      <c r="AJ42" s="60" t="e">
        <f>VLOOKUP(AI42,Лист1!$BA:$BA,1,0)</f>
        <v>#N/A</v>
      </c>
      <c r="AK42" s="49" t="e">
        <f t="shared" si="66"/>
        <v>#N/A</v>
      </c>
      <c r="AL42" s="32" t="str">
        <f t="shared" si="67"/>
        <v>0</v>
      </c>
      <c r="AN42" s="59" t="str">
        <f t="shared" si="68"/>
        <v>.</v>
      </c>
      <c r="AO42" s="60" t="e">
        <f>VLOOKUP(AN42,Лист1!$BE:$BE,1,0)</f>
        <v>#N/A</v>
      </c>
      <c r="AP42" s="49" t="e">
        <f t="shared" si="69"/>
        <v>#N/A</v>
      </c>
      <c r="AQ42" s="32" t="str">
        <f t="shared" si="70"/>
        <v>0</v>
      </c>
      <c r="AS42" s="59" t="str">
        <f t="shared" si="71"/>
        <v>.</v>
      </c>
      <c r="AT42" s="60" t="e">
        <f>VLOOKUP(AS42,Лист1!$BI:$BI,1,0)</f>
        <v>#N/A</v>
      </c>
      <c r="AU42" s="49" t="e">
        <f t="shared" si="72"/>
        <v>#N/A</v>
      </c>
      <c r="AV42" s="32" t="str">
        <f t="shared" si="73"/>
        <v>0</v>
      </c>
      <c r="AX42" s="59" t="str">
        <f t="shared" si="74"/>
        <v>.</v>
      </c>
      <c r="AY42" s="60" t="e">
        <f>VLOOKUP(AX42,Лист1!$BM:$BM,1,0)</f>
        <v>#N/A</v>
      </c>
      <c r="AZ42" s="49" t="e">
        <f t="shared" si="75"/>
        <v>#N/A</v>
      </c>
      <c r="BA42" s="32" t="str">
        <f t="shared" si="76"/>
        <v>0</v>
      </c>
      <c r="BC42" s="59" t="str">
        <f t="shared" si="77"/>
        <v>.</v>
      </c>
      <c r="BD42" s="60" t="e">
        <f>VLOOKUP(BC42,Лист1!$BQ:$BQ,1,0)</f>
        <v>#N/A</v>
      </c>
      <c r="BE42" s="49" t="e">
        <f t="shared" si="78"/>
        <v>#N/A</v>
      </c>
      <c r="BF42" s="32" t="str">
        <f t="shared" si="79"/>
        <v>0</v>
      </c>
      <c r="BH42" s="59" t="str">
        <f t="shared" si="80"/>
        <v>..</v>
      </c>
      <c r="BI42" s="60" t="e">
        <f>VLOOKUP(BH42,Лист1!$BU:$BU,1,0)</f>
        <v>#N/A</v>
      </c>
      <c r="BJ42" s="49" t="e">
        <f t="shared" si="81"/>
        <v>#N/A</v>
      </c>
      <c r="BK42" s="32" t="str">
        <f t="shared" si="82"/>
        <v>0</v>
      </c>
      <c r="BM42" s="59" t="str">
        <f t="shared" si="83"/>
        <v>..</v>
      </c>
      <c r="BN42" s="60" t="e">
        <f>VLOOKUP(BM42,Лист1!$BY:$BY,1,0)</f>
        <v>#N/A</v>
      </c>
      <c r="BO42" s="49" t="e">
        <f t="shared" si="84"/>
        <v>#N/A</v>
      </c>
      <c r="BP42" s="32" t="str">
        <f t="shared" si="85"/>
        <v>0</v>
      </c>
      <c r="BR42" s="59" t="str">
        <f t="shared" si="86"/>
        <v>...</v>
      </c>
      <c r="BS42" s="60" t="e">
        <f>VLOOKUP(BR42,Лист1!$CC:$CC,1,0)</f>
        <v>#N/A</v>
      </c>
      <c r="BT42" s="49" t="e">
        <f t="shared" si="87"/>
        <v>#N/A</v>
      </c>
      <c r="BU42" s="32" t="str">
        <f t="shared" si="88"/>
        <v>0</v>
      </c>
      <c r="BW42" s="59" t="str">
        <f t="shared" si="89"/>
        <v>...</v>
      </c>
      <c r="BX42" s="60" t="e">
        <f>VLOOKUP(BW42,Лист1!$CG:$CG,1,0)</f>
        <v>#N/A</v>
      </c>
      <c r="BY42" s="49" t="e">
        <f t="shared" si="90"/>
        <v>#N/A</v>
      </c>
      <c r="BZ42" s="32" t="str">
        <f t="shared" si="91"/>
        <v>0</v>
      </c>
      <c r="CB42" s="59" t="str">
        <f t="shared" si="92"/>
        <v>.</v>
      </c>
      <c r="CC42" s="60" t="e">
        <f>VLOOKUP(CB42,Лист1!$CK:$CK,1,0)</f>
        <v>#N/A</v>
      </c>
      <c r="CD42" s="49" t="e">
        <f t="shared" si="93"/>
        <v>#N/A</v>
      </c>
      <c r="CE42" s="32" t="str">
        <f t="shared" si="94"/>
        <v>0</v>
      </c>
    </row>
    <row r="43" spans="1:83" x14ac:dyDescent="0.25">
      <c r="A43" s="23" t="str">
        <f t="shared" si="56"/>
        <v>.</v>
      </c>
      <c r="B43" s="70">
        <v>15</v>
      </c>
      <c r="C43" s="425"/>
      <c r="D43" s="426"/>
      <c r="E43" s="427"/>
      <c r="F43" s="425"/>
      <c r="G43" s="428"/>
      <c r="H43" s="425"/>
      <c r="I43" s="427"/>
      <c r="J43" s="425"/>
      <c r="K43" s="427"/>
      <c r="L43" s="425"/>
      <c r="M43" s="440"/>
      <c r="N43" s="441"/>
      <c r="O43" s="442"/>
      <c r="P43" s="443"/>
      <c r="Q43" s="431"/>
      <c r="R43" s="188"/>
      <c r="S43" s="163"/>
      <c r="T43" s="181" t="str">
        <f t="shared" si="57"/>
        <v/>
      </c>
      <c r="U43" s="191" t="str">
        <f t="shared" si="55"/>
        <v/>
      </c>
      <c r="W43" s="123" t="str">
        <f t="shared" si="58"/>
        <v>0</v>
      </c>
      <c r="X43" s="120" t="str">
        <f>IF(OR(R43="",R43=0),"",ORDER!H69)</f>
        <v/>
      </c>
      <c r="Y43" s="60" t="str">
        <f t="shared" si="59"/>
        <v>..</v>
      </c>
      <c r="AB43" s="31">
        <f t="shared" si="60"/>
        <v>0</v>
      </c>
      <c r="AC43" s="68">
        <f t="shared" si="61"/>
        <v>11</v>
      </c>
      <c r="AD43" s="59" t="str">
        <f t="shared" si="62"/>
        <v>.</v>
      </c>
      <c r="AE43" s="60" t="e">
        <f>VLOOKUP(AD43,Лист1!$AW:$AW,1,0)</f>
        <v>#N/A</v>
      </c>
      <c r="AF43" s="49" t="e">
        <f t="shared" si="63"/>
        <v>#N/A</v>
      </c>
      <c r="AG43" s="32" t="str">
        <f t="shared" si="64"/>
        <v>0</v>
      </c>
      <c r="AI43" s="59" t="str">
        <f t="shared" si="65"/>
        <v>..</v>
      </c>
      <c r="AJ43" s="60" t="e">
        <f>VLOOKUP(AI43,Лист1!$BA:$BA,1,0)</f>
        <v>#N/A</v>
      </c>
      <c r="AK43" s="49" t="e">
        <f t="shared" si="66"/>
        <v>#N/A</v>
      </c>
      <c r="AL43" s="32" t="str">
        <f t="shared" si="67"/>
        <v>0</v>
      </c>
      <c r="AN43" s="59" t="str">
        <f t="shared" si="68"/>
        <v>.</v>
      </c>
      <c r="AO43" s="60" t="e">
        <f>VLOOKUP(AN43,Лист1!$BE:$BE,1,0)</f>
        <v>#N/A</v>
      </c>
      <c r="AP43" s="49" t="e">
        <f t="shared" si="69"/>
        <v>#N/A</v>
      </c>
      <c r="AQ43" s="32" t="str">
        <f t="shared" si="70"/>
        <v>0</v>
      </c>
      <c r="AS43" s="59" t="str">
        <f t="shared" si="71"/>
        <v>.</v>
      </c>
      <c r="AT43" s="60" t="e">
        <f>VLOOKUP(AS43,Лист1!$BI:$BI,1,0)</f>
        <v>#N/A</v>
      </c>
      <c r="AU43" s="49" t="e">
        <f t="shared" si="72"/>
        <v>#N/A</v>
      </c>
      <c r="AV43" s="32" t="str">
        <f t="shared" si="73"/>
        <v>0</v>
      </c>
      <c r="AX43" s="59" t="str">
        <f t="shared" si="74"/>
        <v>.</v>
      </c>
      <c r="AY43" s="60" t="e">
        <f>VLOOKUP(AX43,Лист1!$BM:$BM,1,0)</f>
        <v>#N/A</v>
      </c>
      <c r="AZ43" s="49" t="e">
        <f t="shared" si="75"/>
        <v>#N/A</v>
      </c>
      <c r="BA43" s="32" t="str">
        <f t="shared" si="76"/>
        <v>0</v>
      </c>
      <c r="BC43" s="59" t="str">
        <f t="shared" si="77"/>
        <v>.</v>
      </c>
      <c r="BD43" s="60" t="e">
        <f>VLOOKUP(BC43,Лист1!$BQ:$BQ,1,0)</f>
        <v>#N/A</v>
      </c>
      <c r="BE43" s="49" t="e">
        <f t="shared" si="78"/>
        <v>#N/A</v>
      </c>
      <c r="BF43" s="32" t="str">
        <f t="shared" si="79"/>
        <v>0</v>
      </c>
      <c r="BH43" s="59" t="str">
        <f t="shared" si="80"/>
        <v>..</v>
      </c>
      <c r="BI43" s="60" t="e">
        <f>VLOOKUP(BH43,Лист1!$BU:$BU,1,0)</f>
        <v>#N/A</v>
      </c>
      <c r="BJ43" s="49" t="e">
        <f t="shared" si="81"/>
        <v>#N/A</v>
      </c>
      <c r="BK43" s="32" t="str">
        <f t="shared" si="82"/>
        <v>0</v>
      </c>
      <c r="BM43" s="59" t="str">
        <f t="shared" si="83"/>
        <v>..</v>
      </c>
      <c r="BN43" s="60" t="e">
        <f>VLOOKUP(BM43,Лист1!$BY:$BY,1,0)</f>
        <v>#N/A</v>
      </c>
      <c r="BO43" s="49" t="e">
        <f t="shared" si="84"/>
        <v>#N/A</v>
      </c>
      <c r="BP43" s="32" t="str">
        <f t="shared" si="85"/>
        <v>0</v>
      </c>
      <c r="BR43" s="59" t="str">
        <f t="shared" si="86"/>
        <v>...</v>
      </c>
      <c r="BS43" s="60" t="e">
        <f>VLOOKUP(BR43,Лист1!$CC:$CC,1,0)</f>
        <v>#N/A</v>
      </c>
      <c r="BT43" s="49" t="e">
        <f t="shared" si="87"/>
        <v>#N/A</v>
      </c>
      <c r="BU43" s="32" t="str">
        <f t="shared" si="88"/>
        <v>0</v>
      </c>
      <c r="BW43" s="59" t="str">
        <f t="shared" si="89"/>
        <v>...</v>
      </c>
      <c r="BX43" s="60" t="e">
        <f>VLOOKUP(BW43,Лист1!$CG:$CG,1,0)</f>
        <v>#N/A</v>
      </c>
      <c r="BY43" s="49" t="e">
        <f t="shared" si="90"/>
        <v>#N/A</v>
      </c>
      <c r="BZ43" s="32" t="str">
        <f t="shared" si="91"/>
        <v>0</v>
      </c>
      <c r="CB43" s="59" t="str">
        <f t="shared" si="92"/>
        <v>.</v>
      </c>
      <c r="CC43" s="60" t="e">
        <f>VLOOKUP(CB43,Лист1!$CK:$CK,1,0)</f>
        <v>#N/A</v>
      </c>
      <c r="CD43" s="49" t="e">
        <f t="shared" si="93"/>
        <v>#N/A</v>
      </c>
      <c r="CE43" s="32" t="str">
        <f t="shared" si="94"/>
        <v>0</v>
      </c>
    </row>
    <row r="44" spans="1:83" ht="5.0999999999999996" customHeight="1" x14ac:dyDescent="0.25"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6"/>
      <c r="O44" s="166"/>
      <c r="P44" s="166"/>
      <c r="Q44" s="166"/>
      <c r="R44" s="165"/>
      <c r="S44" s="165"/>
      <c r="T44" s="165"/>
      <c r="U44" s="165"/>
      <c r="W44" s="124"/>
      <c r="X44" s="121"/>
    </row>
    <row r="45" spans="1:83" x14ac:dyDescent="0.25">
      <c r="B45" s="725" t="s">
        <v>860</v>
      </c>
      <c r="C45" s="726"/>
      <c r="D45" s="726"/>
      <c r="E45" s="726"/>
      <c r="F45" s="726"/>
      <c r="G45" s="726"/>
      <c r="H45" s="726"/>
      <c r="I45" s="726"/>
      <c r="J45" s="726"/>
      <c r="K45" s="726"/>
      <c r="L45" s="726"/>
      <c r="M45" s="726"/>
      <c r="N45" s="726"/>
      <c r="O45" s="726"/>
      <c r="P45" s="726"/>
      <c r="Q45" s="726"/>
      <c r="R45" s="726"/>
      <c r="S45" s="726"/>
      <c r="T45" s="726"/>
      <c r="U45" s="727"/>
      <c r="W45" s="124"/>
      <c r="X45" s="121"/>
    </row>
    <row r="46" spans="1:83" ht="12.75" customHeight="1" x14ac:dyDescent="0.25">
      <c r="B46" s="67" t="s">
        <v>159</v>
      </c>
      <c r="C46" s="732" t="s">
        <v>841</v>
      </c>
      <c r="D46" s="34" t="s">
        <v>177</v>
      </c>
      <c r="E46" s="33" t="s">
        <v>842</v>
      </c>
      <c r="F46" s="47" t="s">
        <v>97</v>
      </c>
      <c r="G46" s="48" t="s">
        <v>117</v>
      </c>
      <c r="H46" s="9" t="s">
        <v>178</v>
      </c>
      <c r="I46" s="11" t="s">
        <v>843</v>
      </c>
      <c r="J46" s="61" t="s">
        <v>844</v>
      </c>
      <c r="K46" s="62" t="s">
        <v>845</v>
      </c>
      <c r="L46" s="9" t="s">
        <v>846</v>
      </c>
      <c r="M46" s="10" t="s">
        <v>847</v>
      </c>
      <c r="N46" s="11" t="s">
        <v>848</v>
      </c>
      <c r="O46" s="9"/>
      <c r="P46" s="10"/>
      <c r="Q46" s="11"/>
      <c r="R46" s="78" t="s">
        <v>850</v>
      </c>
      <c r="S46" s="67" t="s">
        <v>851</v>
      </c>
      <c r="T46" s="75" t="s">
        <v>852</v>
      </c>
      <c r="U46" s="46" t="s">
        <v>853</v>
      </c>
      <c r="W46" s="124"/>
      <c r="X46" s="121"/>
      <c r="AD46" s="753" t="str">
        <f>D46</f>
        <v>мод</v>
      </c>
      <c r="AE46" s="753"/>
      <c r="AF46" s="753"/>
      <c r="AG46" s="753"/>
      <c r="AI46" s="753" t="str">
        <f>E46</f>
        <v xml:space="preserve">
викон.</v>
      </c>
      <c r="AJ46" s="753"/>
      <c r="AK46" s="753"/>
      <c r="AL46" s="753"/>
      <c r="AN46" s="753" t="str">
        <f>F46</f>
        <v>тип</v>
      </c>
      <c r="AO46" s="753"/>
      <c r="AP46" s="753"/>
      <c r="AQ46" s="753"/>
      <c r="AS46" s="753" t="str">
        <f>G46</f>
        <v>ширина</v>
      </c>
      <c r="AT46" s="753"/>
      <c r="AU46" s="753"/>
      <c r="AV46" s="753"/>
      <c r="AX46" s="753" t="str">
        <f>H46</f>
        <v>декор</v>
      </c>
      <c r="AY46" s="753"/>
      <c r="AZ46" s="753"/>
      <c r="BA46" s="753"/>
      <c r="BC46" s="753" t="str">
        <f>I46</f>
        <v xml:space="preserve">
колір</v>
      </c>
      <c r="BD46" s="753"/>
      <c r="BE46" s="753"/>
      <c r="BF46" s="753"/>
      <c r="BR46" s="753" t="str">
        <f>L46</f>
        <v>фурнітура</v>
      </c>
      <c r="BS46" s="753"/>
      <c r="BT46" s="753"/>
      <c r="BU46" s="753"/>
      <c r="CB46" s="753" t="str">
        <f>N46</f>
        <v>завіса</v>
      </c>
      <c r="CC46" s="753"/>
      <c r="CD46" s="753"/>
      <c r="CE46" s="753"/>
    </row>
    <row r="47" spans="1:83" x14ac:dyDescent="0.25">
      <c r="A47" s="23" t="str">
        <f t="shared" ref="A47:A61" si="97">CONCATENATE(C47,".",D47)</f>
        <v>.</v>
      </c>
      <c r="B47" s="72">
        <v>1</v>
      </c>
      <c r="C47" s="432"/>
      <c r="D47" s="433"/>
      <c r="E47" s="434"/>
      <c r="F47" s="432"/>
      <c r="G47" s="435"/>
      <c r="H47" s="432"/>
      <c r="I47" s="755"/>
      <c r="J47" s="755"/>
      <c r="K47" s="756"/>
      <c r="L47" s="754"/>
      <c r="M47" s="755"/>
      <c r="N47" s="444"/>
      <c r="O47" s="432"/>
      <c r="P47" s="444"/>
      <c r="Q47" s="434"/>
      <c r="R47" s="186"/>
      <c r="S47" s="167"/>
      <c r="T47" s="179" t="str">
        <f t="shared" ref="T47:T61" si="98">IF(OR(W47="",W47="0"),"",W47)</f>
        <v/>
      </c>
      <c r="U47" s="190" t="str">
        <f t="shared" ref="U47:U61" si="99">IF(R47="","",IF(NOT(AC47=0),"Ошибка в строке",""))</f>
        <v/>
      </c>
      <c r="W47" s="123" t="str">
        <f t="shared" ref="W47:W61" si="100">IF(OR(ISNA(X47),NOT(AC47=0)),"0",X47)</f>
        <v>0</v>
      </c>
      <c r="X47" s="120" t="str">
        <f>IF(OR(R47="",R47=0),"",ORDER!H71)</f>
        <v/>
      </c>
      <c r="Y47" s="60" t="str">
        <f>CONCATENATE(C47,".",E47,".",F47)</f>
        <v>..</v>
      </c>
      <c r="AB47" s="31">
        <f>AG47+AL47+AQ47+AV47+BA47+BF47+BK47+BP47+BU47+BZ47+CE47</f>
        <v>0</v>
      </c>
      <c r="AC47" s="68">
        <f>8-AB47</f>
        <v>8</v>
      </c>
      <c r="AD47" s="59" t="str">
        <f>CONCATENATE(C47,".",D47)</f>
        <v>.</v>
      </c>
      <c r="AE47" s="60" t="e">
        <f>VLOOKUP(AD47,Лист1!$AW:$AW,1,0)</f>
        <v>#N/A</v>
      </c>
      <c r="AF47" s="49" t="e">
        <f>IF(AD47=AE47,1,0)</f>
        <v>#N/A</v>
      </c>
      <c r="AG47" s="32" t="str">
        <f>IF(ISNA(AF47),"0",AF47)</f>
        <v>0</v>
      </c>
      <c r="AI47" s="59" t="str">
        <f>CONCATENATE(C47,".",D47,".",E47)</f>
        <v>..</v>
      </c>
      <c r="AJ47" s="60" t="e">
        <f>VLOOKUP(AI47,Лист1!$BA:$BA,1,0)</f>
        <v>#N/A</v>
      </c>
      <c r="AK47" s="49" t="e">
        <f>IF(AI47=AJ47,1,0)</f>
        <v>#N/A</v>
      </c>
      <c r="AL47" s="32" t="str">
        <f>IF(ISNA(AK47),"0",AK47)</f>
        <v>0</v>
      </c>
      <c r="AN47" s="59" t="str">
        <f>CONCATENATE(E47,".",F47,)</f>
        <v>.</v>
      </c>
      <c r="AO47" s="60" t="e">
        <f>VLOOKUP(AN47,Лист1!$BE:$BE,1,0)</f>
        <v>#N/A</v>
      </c>
      <c r="AP47" s="49" t="e">
        <f>IF(AN47=AO47,1,0)</f>
        <v>#N/A</v>
      </c>
      <c r="AQ47" s="32" t="str">
        <f>IF(ISNA(AP47),"0",AP47)</f>
        <v>0</v>
      </c>
      <c r="AS47" s="59" t="str">
        <f>CONCATENATE(F47,".",G47,)</f>
        <v>.</v>
      </c>
      <c r="AT47" s="60" t="e">
        <f>VLOOKUP(AS47,Лист1!$BI:$BI,1,0)</f>
        <v>#N/A</v>
      </c>
      <c r="AU47" s="49" t="e">
        <f>IF(AS47=AT47,1,0)</f>
        <v>#N/A</v>
      </c>
      <c r="AV47" s="32" t="str">
        <f>IF(ISNA(AU47),"0",AU47)</f>
        <v>0</v>
      </c>
      <c r="AX47" s="59" t="str">
        <f>CONCATENATE(C47,".",H47,)</f>
        <v>.</v>
      </c>
      <c r="AY47" s="60" t="e">
        <f>VLOOKUP(AX47,Лист1!$BM:$BM,1,0)</f>
        <v>#N/A</v>
      </c>
      <c r="AZ47" s="49" t="e">
        <f>IF(AX47=AY47,1,0)</f>
        <v>#N/A</v>
      </c>
      <c r="BA47" s="32" t="str">
        <f>IF(ISNA(AZ47),"0",AZ47)</f>
        <v>0</v>
      </c>
      <c r="BC47" s="59" t="str">
        <f>CONCATENATE(H47,".",I47,)</f>
        <v>.</v>
      </c>
      <c r="BD47" s="60" t="e">
        <f>VLOOKUP(BC47,Лист1!$BQ:$BQ,1,0)</f>
        <v>#N/A</v>
      </c>
      <c r="BE47" s="49" t="e">
        <f>IF(BC47=BD47,1,0)</f>
        <v>#N/A</v>
      </c>
      <c r="BF47" s="32" t="str">
        <f>IF(ISNA(BE47),"0",BE47)</f>
        <v>0</v>
      </c>
      <c r="BR47" s="59" t="str">
        <f>CONCATENATE(C47,".",E47,".",F47,".",L47)</f>
        <v>...</v>
      </c>
      <c r="BS47" s="60" t="e">
        <f>VLOOKUP(BR47,Лист1!$CC:$CC,1,0)</f>
        <v>#N/A</v>
      </c>
      <c r="BT47" s="49" t="e">
        <f>IF(BR47=BS47,1,0)</f>
        <v>#N/A</v>
      </c>
      <c r="BU47" s="32" t="str">
        <f>IF(ISNA(BT47),"0",BT47)</f>
        <v>0</v>
      </c>
      <c r="CB47" s="59" t="str">
        <f>CONCATENATE(L47,".",N47)</f>
        <v>.</v>
      </c>
      <c r="CC47" s="60" t="e">
        <f>VLOOKUP(CB47,Лист1!$CK:$CK,1,0)</f>
        <v>#N/A</v>
      </c>
      <c r="CD47" s="49" t="e">
        <f>IF(CB47=CC47,1,0)</f>
        <v>#N/A</v>
      </c>
      <c r="CE47" s="32" t="str">
        <f>IF(ISNA(CD47),"0",CD47)</f>
        <v>0</v>
      </c>
    </row>
    <row r="48" spans="1:83" x14ac:dyDescent="0.25">
      <c r="A48" s="23" t="str">
        <f t="shared" si="97"/>
        <v>.</v>
      </c>
      <c r="B48" s="73">
        <v>2</v>
      </c>
      <c r="C48" s="432"/>
      <c r="D48" s="433"/>
      <c r="E48" s="434"/>
      <c r="F48" s="432"/>
      <c r="G48" s="435"/>
      <c r="H48" s="432"/>
      <c r="I48" s="755"/>
      <c r="J48" s="755"/>
      <c r="K48" s="756"/>
      <c r="L48" s="754"/>
      <c r="M48" s="755"/>
      <c r="N48" s="444"/>
      <c r="O48" s="432"/>
      <c r="P48" s="444"/>
      <c r="Q48" s="434"/>
      <c r="R48" s="186"/>
      <c r="S48" s="106"/>
      <c r="T48" s="180" t="str">
        <f t="shared" si="98"/>
        <v/>
      </c>
      <c r="U48" s="189" t="str">
        <f t="shared" si="99"/>
        <v/>
      </c>
      <c r="W48" s="123" t="str">
        <f t="shared" si="100"/>
        <v>0</v>
      </c>
      <c r="X48" s="120" t="str">
        <f>IF(OR(R48="",R48=0),"",ORDER!H72)</f>
        <v/>
      </c>
      <c r="Y48" s="60" t="str">
        <f t="shared" ref="Y48:Y61" si="101">CONCATENATE(C48,".",E48,".",F48)</f>
        <v>..</v>
      </c>
      <c r="AB48" s="31">
        <f t="shared" ref="AB48:AB61" si="102">AG48+AL48+AQ48+AV48+BA48+BF48+BK48+BP48+BU48+BZ48+CE48</f>
        <v>0</v>
      </c>
      <c r="AC48" s="68">
        <f t="shared" ref="AC48:AC61" si="103">8-AB48</f>
        <v>8</v>
      </c>
      <c r="AD48" s="59" t="str">
        <f t="shared" ref="AD48:AD61" si="104">CONCATENATE(C48,".",D48)</f>
        <v>.</v>
      </c>
      <c r="AE48" s="60" t="e">
        <f>VLOOKUP(AD48,Лист1!$AW:$AW,1,0)</f>
        <v>#N/A</v>
      </c>
      <c r="AF48" s="49" t="e">
        <f t="shared" ref="AF48:AF61" si="105">IF(AD48=AE48,1,0)</f>
        <v>#N/A</v>
      </c>
      <c r="AG48" s="32" t="str">
        <f t="shared" ref="AG48:AG61" si="106">IF(ISNA(AF48),"0",AF48)</f>
        <v>0</v>
      </c>
      <c r="AI48" s="59" t="str">
        <f t="shared" ref="AI48:AI61" si="107">CONCATENATE(C48,".",D48,".",E48)</f>
        <v>..</v>
      </c>
      <c r="AJ48" s="60" t="e">
        <f>VLOOKUP(AI48,Лист1!$BA:$BA,1,0)</f>
        <v>#N/A</v>
      </c>
      <c r="AK48" s="49" t="e">
        <f t="shared" ref="AK48:AK61" si="108">IF(AI48=AJ48,1,0)</f>
        <v>#N/A</v>
      </c>
      <c r="AL48" s="32" t="str">
        <f t="shared" ref="AL48:AL61" si="109">IF(ISNA(AK48),"0",AK48)</f>
        <v>0</v>
      </c>
      <c r="AN48" s="59" t="str">
        <f t="shared" ref="AN48:AN61" si="110">CONCATENATE(E48,".",F48,)</f>
        <v>.</v>
      </c>
      <c r="AO48" s="60" t="e">
        <f>VLOOKUP(AN48,Лист1!$BE:$BE,1,0)</f>
        <v>#N/A</v>
      </c>
      <c r="AP48" s="49" t="e">
        <f t="shared" ref="AP48:AP61" si="111">IF(AN48=AO48,1,0)</f>
        <v>#N/A</v>
      </c>
      <c r="AQ48" s="32" t="str">
        <f t="shared" ref="AQ48:AQ61" si="112">IF(ISNA(AP48),"0",AP48)</f>
        <v>0</v>
      </c>
      <c r="AS48" s="59" t="str">
        <f t="shared" ref="AS48:AS61" si="113">CONCATENATE(F48,".",G48,)</f>
        <v>.</v>
      </c>
      <c r="AT48" s="60" t="e">
        <f>VLOOKUP(AS48,Лист1!$BI:$BI,1,0)</f>
        <v>#N/A</v>
      </c>
      <c r="AU48" s="49" t="e">
        <f t="shared" ref="AU48:AU61" si="114">IF(AS48=AT48,1,0)</f>
        <v>#N/A</v>
      </c>
      <c r="AV48" s="32" t="str">
        <f t="shared" ref="AV48:AV61" si="115">IF(ISNA(AU48),"0",AU48)</f>
        <v>0</v>
      </c>
      <c r="AX48" s="59" t="str">
        <f t="shared" ref="AX48:AX61" si="116">CONCATENATE(C48,".",H48,)</f>
        <v>.</v>
      </c>
      <c r="AY48" s="60" t="e">
        <f>VLOOKUP(AX48,Лист1!$BM:$BM,1,0)</f>
        <v>#N/A</v>
      </c>
      <c r="AZ48" s="49" t="e">
        <f t="shared" ref="AZ48:AZ61" si="117">IF(AX48=AY48,1,0)</f>
        <v>#N/A</v>
      </c>
      <c r="BA48" s="32" t="str">
        <f t="shared" ref="BA48:BA61" si="118">IF(ISNA(AZ48),"0",AZ48)</f>
        <v>0</v>
      </c>
      <c r="BC48" s="59" t="str">
        <f t="shared" ref="BC48:BC61" si="119">CONCATENATE(H48,".",I48,)</f>
        <v>.</v>
      </c>
      <c r="BD48" s="60" t="e">
        <f>VLOOKUP(BC48,Лист1!$BQ:$BQ,1,0)</f>
        <v>#N/A</v>
      </c>
      <c r="BE48" s="49" t="e">
        <f t="shared" ref="BE48:BE61" si="120">IF(BC48=BD48,1,0)</f>
        <v>#N/A</v>
      </c>
      <c r="BF48" s="32" t="str">
        <f t="shared" ref="BF48:BF61" si="121">IF(ISNA(BE48),"0",BE48)</f>
        <v>0</v>
      </c>
      <c r="BR48" s="59" t="str">
        <f t="shared" ref="BR48:BR61" si="122">CONCATENATE(C48,".",E48,".",F48,".",L48)</f>
        <v>...</v>
      </c>
      <c r="BS48" s="60" t="e">
        <f>VLOOKUP(BR48,Лист1!$CC:$CC,1,0)</f>
        <v>#N/A</v>
      </c>
      <c r="BT48" s="49" t="e">
        <f t="shared" ref="BT48:BT61" si="123">IF(BR48=BS48,1,0)</f>
        <v>#N/A</v>
      </c>
      <c r="BU48" s="32" t="str">
        <f t="shared" ref="BU48:BU61" si="124">IF(ISNA(BT48),"0",BT48)</f>
        <v>0</v>
      </c>
      <c r="CB48" s="59" t="str">
        <f t="shared" ref="CB48:CB61" si="125">CONCATENATE(L48,".",N48)</f>
        <v>.</v>
      </c>
      <c r="CC48" s="60" t="e">
        <f>VLOOKUP(CB48,Лист1!$CK:$CK,1,0)</f>
        <v>#N/A</v>
      </c>
      <c r="CD48" s="49" t="e">
        <f t="shared" ref="CD48:CD61" si="126">IF(CB48=CC48,1,0)</f>
        <v>#N/A</v>
      </c>
      <c r="CE48" s="32" t="str">
        <f t="shared" ref="CE48:CE61" si="127">IF(ISNA(CD48),"0",CD48)</f>
        <v>0</v>
      </c>
    </row>
    <row r="49" spans="1:83" x14ac:dyDescent="0.25">
      <c r="A49" s="23" t="str">
        <f t="shared" si="97"/>
        <v>.</v>
      </c>
      <c r="B49" s="73">
        <v>3</v>
      </c>
      <c r="C49" s="432"/>
      <c r="D49" s="433"/>
      <c r="E49" s="434"/>
      <c r="F49" s="432"/>
      <c r="G49" s="435"/>
      <c r="H49" s="432"/>
      <c r="I49" s="755"/>
      <c r="J49" s="755"/>
      <c r="K49" s="756"/>
      <c r="L49" s="754"/>
      <c r="M49" s="755"/>
      <c r="N49" s="444"/>
      <c r="O49" s="432"/>
      <c r="P49" s="444"/>
      <c r="Q49" s="434"/>
      <c r="R49" s="186"/>
      <c r="S49" s="106"/>
      <c r="T49" s="180" t="str">
        <f t="shared" si="98"/>
        <v/>
      </c>
      <c r="U49" s="189" t="str">
        <f t="shared" si="99"/>
        <v/>
      </c>
      <c r="W49" s="123" t="str">
        <f t="shared" si="100"/>
        <v>0</v>
      </c>
      <c r="X49" s="120" t="str">
        <f>IF(OR(R49="",R49=0),"",ORDER!H73)</f>
        <v/>
      </c>
      <c r="Y49" s="60" t="str">
        <f t="shared" si="101"/>
        <v>..</v>
      </c>
      <c r="AB49" s="31">
        <f t="shared" si="102"/>
        <v>0</v>
      </c>
      <c r="AC49" s="68">
        <f t="shared" si="103"/>
        <v>8</v>
      </c>
      <c r="AD49" s="59" t="str">
        <f t="shared" si="104"/>
        <v>.</v>
      </c>
      <c r="AE49" s="60" t="e">
        <f>VLOOKUP(AD49,Лист1!$AW:$AW,1,0)</f>
        <v>#N/A</v>
      </c>
      <c r="AF49" s="49" t="e">
        <f t="shared" si="105"/>
        <v>#N/A</v>
      </c>
      <c r="AG49" s="32" t="str">
        <f t="shared" si="106"/>
        <v>0</v>
      </c>
      <c r="AI49" s="59" t="str">
        <f t="shared" si="107"/>
        <v>..</v>
      </c>
      <c r="AJ49" s="60" t="e">
        <f>VLOOKUP(AI49,Лист1!$BA:$BA,1,0)</f>
        <v>#N/A</v>
      </c>
      <c r="AK49" s="49" t="e">
        <f t="shared" si="108"/>
        <v>#N/A</v>
      </c>
      <c r="AL49" s="32" t="str">
        <f t="shared" si="109"/>
        <v>0</v>
      </c>
      <c r="AN49" s="59" t="str">
        <f t="shared" si="110"/>
        <v>.</v>
      </c>
      <c r="AO49" s="60" t="e">
        <f>VLOOKUP(AN49,Лист1!$BE:$BE,1,0)</f>
        <v>#N/A</v>
      </c>
      <c r="AP49" s="49" t="e">
        <f t="shared" si="111"/>
        <v>#N/A</v>
      </c>
      <c r="AQ49" s="32" t="str">
        <f t="shared" si="112"/>
        <v>0</v>
      </c>
      <c r="AS49" s="59" t="str">
        <f t="shared" si="113"/>
        <v>.</v>
      </c>
      <c r="AT49" s="60" t="e">
        <f>VLOOKUP(AS49,Лист1!$BI:$BI,1,0)</f>
        <v>#N/A</v>
      </c>
      <c r="AU49" s="49" t="e">
        <f t="shared" si="114"/>
        <v>#N/A</v>
      </c>
      <c r="AV49" s="32" t="str">
        <f t="shared" si="115"/>
        <v>0</v>
      </c>
      <c r="AX49" s="59" t="str">
        <f t="shared" si="116"/>
        <v>.</v>
      </c>
      <c r="AY49" s="60" t="e">
        <f>VLOOKUP(AX49,Лист1!$BM:$BM,1,0)</f>
        <v>#N/A</v>
      </c>
      <c r="AZ49" s="49" t="e">
        <f t="shared" si="117"/>
        <v>#N/A</v>
      </c>
      <c r="BA49" s="32" t="str">
        <f t="shared" si="118"/>
        <v>0</v>
      </c>
      <c r="BC49" s="59" t="str">
        <f t="shared" si="119"/>
        <v>.</v>
      </c>
      <c r="BD49" s="60" t="e">
        <f>VLOOKUP(BC49,Лист1!$BQ:$BQ,1,0)</f>
        <v>#N/A</v>
      </c>
      <c r="BE49" s="49" t="e">
        <f t="shared" si="120"/>
        <v>#N/A</v>
      </c>
      <c r="BF49" s="32" t="str">
        <f t="shared" si="121"/>
        <v>0</v>
      </c>
      <c r="BR49" s="59" t="str">
        <f t="shared" si="122"/>
        <v>...</v>
      </c>
      <c r="BS49" s="60" t="e">
        <f>VLOOKUP(BR49,Лист1!$CC:$CC,1,0)</f>
        <v>#N/A</v>
      </c>
      <c r="BT49" s="49" t="e">
        <f t="shared" si="123"/>
        <v>#N/A</v>
      </c>
      <c r="BU49" s="32" t="str">
        <f t="shared" si="124"/>
        <v>0</v>
      </c>
      <c r="CB49" s="59" t="str">
        <f t="shared" si="125"/>
        <v>.</v>
      </c>
      <c r="CC49" s="60" t="e">
        <f>VLOOKUP(CB49,Лист1!$CK:$CK,1,0)</f>
        <v>#N/A</v>
      </c>
      <c r="CD49" s="49" t="e">
        <f t="shared" si="126"/>
        <v>#N/A</v>
      </c>
      <c r="CE49" s="32" t="str">
        <f t="shared" si="127"/>
        <v>0</v>
      </c>
    </row>
    <row r="50" spans="1:83" x14ac:dyDescent="0.25">
      <c r="A50" s="23" t="str">
        <f>CONCATENATE(C50,".",D50)</f>
        <v>.</v>
      </c>
      <c r="B50" s="73">
        <v>4</v>
      </c>
      <c r="C50" s="432"/>
      <c r="D50" s="433"/>
      <c r="E50" s="434"/>
      <c r="F50" s="432"/>
      <c r="G50" s="435"/>
      <c r="H50" s="432"/>
      <c r="I50" s="755"/>
      <c r="J50" s="755"/>
      <c r="K50" s="756"/>
      <c r="L50" s="754"/>
      <c r="M50" s="755"/>
      <c r="N50" s="444"/>
      <c r="O50" s="432"/>
      <c r="P50" s="444"/>
      <c r="Q50" s="434"/>
      <c r="R50" s="186"/>
      <c r="S50" s="107"/>
      <c r="T50" s="180" t="str">
        <f>IF(OR(W50="",W50="0"),"",W50)</f>
        <v/>
      </c>
      <c r="U50" s="189" t="str">
        <f>IF(R50="","",IF(NOT(AC50=0),"Ошибка в строке",""))</f>
        <v/>
      </c>
      <c r="W50" s="123" t="str">
        <f>IF(OR(ISNA(X50),NOT(AC50=0)),"0",X50)</f>
        <v>0</v>
      </c>
      <c r="X50" s="120" t="str">
        <f>IF(OR(R50="",R50=0),"",ORDER!H74)</f>
        <v/>
      </c>
      <c r="Y50" s="60" t="str">
        <f>CONCATENATE(C50,".",E50,".",F50)</f>
        <v>..</v>
      </c>
      <c r="AB50" s="31">
        <f>AG50+AL50+AQ50+AV50+BA50+BF50+BK50+BP50+BU50+BZ50+CE50</f>
        <v>0</v>
      </c>
      <c r="AC50" s="68">
        <f t="shared" si="103"/>
        <v>8</v>
      </c>
      <c r="AD50" s="59" t="str">
        <f>CONCATENATE(C50,".",D50)</f>
        <v>.</v>
      </c>
      <c r="AE50" s="60" t="e">
        <f>VLOOKUP(AD50,Лист1!$AW:$AW,1,0)</f>
        <v>#N/A</v>
      </c>
      <c r="AF50" s="49" t="e">
        <f>IF(AD50=AE50,1,0)</f>
        <v>#N/A</v>
      </c>
      <c r="AG50" s="32" t="str">
        <f t="shared" si="106"/>
        <v>0</v>
      </c>
      <c r="AI50" s="59" t="str">
        <f>CONCATENATE(C50,".",D50,".",E50)</f>
        <v>..</v>
      </c>
      <c r="AJ50" s="60" t="e">
        <f>VLOOKUP(AI50,Лист1!$BA:$BA,1,0)</f>
        <v>#N/A</v>
      </c>
      <c r="AK50" s="49" t="e">
        <f>IF(AI50=AJ50,1,0)</f>
        <v>#N/A</v>
      </c>
      <c r="AL50" s="32" t="str">
        <f t="shared" si="109"/>
        <v>0</v>
      </c>
      <c r="AN50" s="59" t="str">
        <f>CONCATENATE(E50,".",F50,)</f>
        <v>.</v>
      </c>
      <c r="AO50" s="60" t="e">
        <f>VLOOKUP(AN50,Лист1!$BE:$BE,1,0)</f>
        <v>#N/A</v>
      </c>
      <c r="AP50" s="49" t="e">
        <f>IF(AN50=AO50,1,0)</f>
        <v>#N/A</v>
      </c>
      <c r="AQ50" s="32" t="str">
        <f t="shared" si="112"/>
        <v>0</v>
      </c>
      <c r="AS50" s="59" t="str">
        <f>CONCATENATE(F50,".",G50,)</f>
        <v>.</v>
      </c>
      <c r="AT50" s="60" t="e">
        <f>VLOOKUP(AS50,Лист1!$BI:$BI,1,0)</f>
        <v>#N/A</v>
      </c>
      <c r="AU50" s="49" t="e">
        <f>IF(AS50=AT50,1,0)</f>
        <v>#N/A</v>
      </c>
      <c r="AV50" s="32" t="str">
        <f t="shared" si="115"/>
        <v>0</v>
      </c>
      <c r="AX50" s="59" t="str">
        <f>CONCATENATE(C50,".",H50,)</f>
        <v>.</v>
      </c>
      <c r="AY50" s="60" t="e">
        <f>VLOOKUP(AX50,Лист1!$BM:$BM,1,0)</f>
        <v>#N/A</v>
      </c>
      <c r="AZ50" s="49" t="e">
        <f>IF(AX50=AY50,1,0)</f>
        <v>#N/A</v>
      </c>
      <c r="BA50" s="32" t="str">
        <f t="shared" si="118"/>
        <v>0</v>
      </c>
      <c r="BC50" s="59" t="str">
        <f>CONCATENATE(H50,".",I50,)</f>
        <v>.</v>
      </c>
      <c r="BD50" s="60" t="e">
        <f>VLOOKUP(BC50,Лист1!$BQ:$BQ,1,0)</f>
        <v>#N/A</v>
      </c>
      <c r="BE50" s="49" t="e">
        <f>IF(BC50=BD50,1,0)</f>
        <v>#N/A</v>
      </c>
      <c r="BF50" s="32" t="str">
        <f t="shared" si="121"/>
        <v>0</v>
      </c>
      <c r="BR50" s="59" t="str">
        <f>CONCATENATE(C50,".",E50,".",F50,".",L50)</f>
        <v>...</v>
      </c>
      <c r="BS50" s="60" t="e">
        <f>VLOOKUP(BR50,Лист1!$CC:$CC,1,0)</f>
        <v>#N/A</v>
      </c>
      <c r="BT50" s="49" t="e">
        <f>IF(BR50=BS50,1,0)</f>
        <v>#N/A</v>
      </c>
      <c r="BU50" s="32" t="str">
        <f t="shared" si="124"/>
        <v>0</v>
      </c>
      <c r="CB50" s="59" t="str">
        <f>CONCATENATE(L50,".",N50)</f>
        <v>.</v>
      </c>
      <c r="CC50" s="60" t="e">
        <f>VLOOKUP(CB50,Лист1!$CK:$CK,1,0)</f>
        <v>#N/A</v>
      </c>
      <c r="CD50" s="49" t="e">
        <f>IF(CB50=CC50,1,0)</f>
        <v>#N/A</v>
      </c>
      <c r="CE50" s="32" t="str">
        <f t="shared" si="127"/>
        <v>0</v>
      </c>
    </row>
    <row r="51" spans="1:83" x14ac:dyDescent="0.25">
      <c r="A51" s="23" t="str">
        <f>CONCATENATE(C51,".",D51)</f>
        <v>.</v>
      </c>
      <c r="B51" s="73">
        <v>5</v>
      </c>
      <c r="C51" s="432"/>
      <c r="D51" s="433"/>
      <c r="E51" s="434"/>
      <c r="F51" s="432"/>
      <c r="G51" s="435"/>
      <c r="H51" s="432"/>
      <c r="I51" s="755"/>
      <c r="J51" s="755"/>
      <c r="K51" s="756"/>
      <c r="L51" s="754"/>
      <c r="M51" s="755"/>
      <c r="N51" s="444"/>
      <c r="O51" s="432"/>
      <c r="P51" s="444"/>
      <c r="Q51" s="434"/>
      <c r="R51" s="186"/>
      <c r="S51" s="106"/>
      <c r="T51" s="180" t="str">
        <f>IF(OR(W51="",W51="0"),"",W51)</f>
        <v/>
      </c>
      <c r="U51" s="189" t="str">
        <f>IF(R51="","",IF(NOT(AC51=0),"Ошибка в строке",""))</f>
        <v/>
      </c>
      <c r="W51" s="123" t="str">
        <f>IF(OR(ISNA(X51),NOT(AC51=0)),"0",X51)</f>
        <v>0</v>
      </c>
      <c r="X51" s="120" t="str">
        <f>IF(OR(R51="",R51=0),"",ORDER!H75)</f>
        <v/>
      </c>
      <c r="Y51" s="60" t="str">
        <f>CONCATENATE(C51,".",E51,".",F51)</f>
        <v>..</v>
      </c>
      <c r="AB51" s="31">
        <f>AG51+AL51+AQ51+AV51+BA51+BF51+BK51+BP51+BU51+BZ51+CE51</f>
        <v>0</v>
      </c>
      <c r="AC51" s="68">
        <f t="shared" si="103"/>
        <v>8</v>
      </c>
      <c r="AD51" s="59" t="str">
        <f>CONCATENATE(C51,".",D51)</f>
        <v>.</v>
      </c>
      <c r="AE51" s="60" t="e">
        <f>VLOOKUP(AD51,Лист1!$AW:$AW,1,0)</f>
        <v>#N/A</v>
      </c>
      <c r="AF51" s="49" t="e">
        <f>IF(AD51=AE51,1,0)</f>
        <v>#N/A</v>
      </c>
      <c r="AG51" s="32" t="str">
        <f t="shared" si="106"/>
        <v>0</v>
      </c>
      <c r="AI51" s="59" t="str">
        <f>CONCATENATE(C51,".",D51,".",E51)</f>
        <v>..</v>
      </c>
      <c r="AJ51" s="60" t="e">
        <f>VLOOKUP(AI51,Лист1!$BA:$BA,1,0)</f>
        <v>#N/A</v>
      </c>
      <c r="AK51" s="49" t="e">
        <f>IF(AI51=AJ51,1,0)</f>
        <v>#N/A</v>
      </c>
      <c r="AL51" s="32" t="str">
        <f t="shared" si="109"/>
        <v>0</v>
      </c>
      <c r="AN51" s="59" t="str">
        <f>CONCATENATE(E51,".",F51,)</f>
        <v>.</v>
      </c>
      <c r="AO51" s="60" t="e">
        <f>VLOOKUP(AN51,Лист1!$BE:$BE,1,0)</f>
        <v>#N/A</v>
      </c>
      <c r="AP51" s="49" t="e">
        <f>IF(AN51=AO51,1,0)</f>
        <v>#N/A</v>
      </c>
      <c r="AQ51" s="32" t="str">
        <f t="shared" si="112"/>
        <v>0</v>
      </c>
      <c r="AS51" s="59" t="str">
        <f>CONCATENATE(F51,".",G51,)</f>
        <v>.</v>
      </c>
      <c r="AT51" s="60" t="e">
        <f>VLOOKUP(AS51,Лист1!$BI:$BI,1,0)</f>
        <v>#N/A</v>
      </c>
      <c r="AU51" s="49" t="e">
        <f>IF(AS51=AT51,1,0)</f>
        <v>#N/A</v>
      </c>
      <c r="AV51" s="32" t="str">
        <f t="shared" si="115"/>
        <v>0</v>
      </c>
      <c r="AX51" s="59" t="str">
        <f>CONCATENATE(C51,".",H51,)</f>
        <v>.</v>
      </c>
      <c r="AY51" s="60" t="e">
        <f>VLOOKUP(AX51,Лист1!$BM:$BM,1,0)</f>
        <v>#N/A</v>
      </c>
      <c r="AZ51" s="49" t="e">
        <f>IF(AX51=AY51,1,0)</f>
        <v>#N/A</v>
      </c>
      <c r="BA51" s="32" t="str">
        <f t="shared" si="118"/>
        <v>0</v>
      </c>
      <c r="BC51" s="59" t="str">
        <f>CONCATENATE(H51,".",I51,)</f>
        <v>.</v>
      </c>
      <c r="BD51" s="60" t="e">
        <f>VLOOKUP(BC51,Лист1!$BQ:$BQ,1,0)</f>
        <v>#N/A</v>
      </c>
      <c r="BE51" s="49" t="e">
        <f>IF(BC51=BD51,1,0)</f>
        <v>#N/A</v>
      </c>
      <c r="BF51" s="32" t="str">
        <f t="shared" si="121"/>
        <v>0</v>
      </c>
      <c r="BR51" s="59" t="str">
        <f>CONCATENATE(C51,".",E51,".",F51,".",L51)</f>
        <v>...</v>
      </c>
      <c r="BS51" s="60" t="e">
        <f>VLOOKUP(BR51,Лист1!$CC:$CC,1,0)</f>
        <v>#N/A</v>
      </c>
      <c r="BT51" s="49" t="e">
        <f>IF(BR51=BS51,1,0)</f>
        <v>#N/A</v>
      </c>
      <c r="BU51" s="32" t="str">
        <f t="shared" si="124"/>
        <v>0</v>
      </c>
      <c r="CB51" s="59" t="str">
        <f>CONCATENATE(L51,".",N51)</f>
        <v>.</v>
      </c>
      <c r="CC51" s="60" t="e">
        <f>VLOOKUP(CB51,Лист1!$CK:$CK,1,0)</f>
        <v>#N/A</v>
      </c>
      <c r="CD51" s="49" t="e">
        <f>IF(CB51=CC51,1,0)</f>
        <v>#N/A</v>
      </c>
      <c r="CE51" s="32" t="str">
        <f t="shared" si="127"/>
        <v>0</v>
      </c>
    </row>
    <row r="52" spans="1:83" x14ac:dyDescent="0.25">
      <c r="A52" s="23" t="str">
        <f>CONCATENATE(C52,".",D52)</f>
        <v>.</v>
      </c>
      <c r="B52" s="73">
        <v>6</v>
      </c>
      <c r="C52" s="432"/>
      <c r="D52" s="433"/>
      <c r="E52" s="434"/>
      <c r="F52" s="432"/>
      <c r="G52" s="435"/>
      <c r="H52" s="432"/>
      <c r="I52" s="755"/>
      <c r="J52" s="755"/>
      <c r="K52" s="756"/>
      <c r="L52" s="754"/>
      <c r="M52" s="755"/>
      <c r="N52" s="444"/>
      <c r="O52" s="432"/>
      <c r="P52" s="444"/>
      <c r="Q52" s="434"/>
      <c r="R52" s="186"/>
      <c r="S52" s="106"/>
      <c r="T52" s="180" t="str">
        <f>IF(OR(W52="",W52="0"),"",W52)</f>
        <v/>
      </c>
      <c r="U52" s="189" t="str">
        <f>IF(R52="","",IF(NOT(AC52=0),"Ошибка в строке",""))</f>
        <v/>
      </c>
      <c r="W52" s="123" t="str">
        <f>IF(OR(ISNA(X52),NOT(AC52=0)),"0",X52)</f>
        <v>0</v>
      </c>
      <c r="X52" s="120" t="str">
        <f>IF(OR(R52="",R52=0),"",ORDER!H76)</f>
        <v/>
      </c>
      <c r="Y52" s="60" t="str">
        <f>CONCATENATE(C52,".",E52,".",F52)</f>
        <v>..</v>
      </c>
      <c r="AB52" s="31">
        <f>AG52+AL52+AQ52+AV52+BA52+BF52+BK52+BP52+BU52+BZ52+CE52</f>
        <v>0</v>
      </c>
      <c r="AC52" s="68">
        <f t="shared" si="103"/>
        <v>8</v>
      </c>
      <c r="AD52" s="59" t="str">
        <f>CONCATENATE(C52,".",D52)</f>
        <v>.</v>
      </c>
      <c r="AE52" s="60" t="e">
        <f>VLOOKUP(AD52,Лист1!$AW:$AW,1,0)</f>
        <v>#N/A</v>
      </c>
      <c r="AF52" s="49" t="e">
        <f>IF(AD52=AE52,1,0)</f>
        <v>#N/A</v>
      </c>
      <c r="AG52" s="32" t="str">
        <f t="shared" si="106"/>
        <v>0</v>
      </c>
      <c r="AI52" s="59" t="str">
        <f>CONCATENATE(C52,".",D52,".",E52)</f>
        <v>..</v>
      </c>
      <c r="AJ52" s="60" t="e">
        <f>VLOOKUP(AI52,Лист1!$BA:$BA,1,0)</f>
        <v>#N/A</v>
      </c>
      <c r="AK52" s="49" t="e">
        <f>IF(AI52=AJ52,1,0)</f>
        <v>#N/A</v>
      </c>
      <c r="AL52" s="32" t="str">
        <f t="shared" si="109"/>
        <v>0</v>
      </c>
      <c r="AN52" s="59" t="str">
        <f>CONCATENATE(E52,".",F52,)</f>
        <v>.</v>
      </c>
      <c r="AO52" s="60" t="e">
        <f>VLOOKUP(AN52,Лист1!$BE:$BE,1,0)</f>
        <v>#N/A</v>
      </c>
      <c r="AP52" s="49" t="e">
        <f>IF(AN52=AO52,1,0)</f>
        <v>#N/A</v>
      </c>
      <c r="AQ52" s="32" t="str">
        <f t="shared" si="112"/>
        <v>0</v>
      </c>
      <c r="AS52" s="59" t="str">
        <f>CONCATENATE(F52,".",G52,)</f>
        <v>.</v>
      </c>
      <c r="AT52" s="60" t="e">
        <f>VLOOKUP(AS52,Лист1!$BI:$BI,1,0)</f>
        <v>#N/A</v>
      </c>
      <c r="AU52" s="49" t="e">
        <f>IF(AS52=AT52,1,0)</f>
        <v>#N/A</v>
      </c>
      <c r="AV52" s="32" t="str">
        <f t="shared" si="115"/>
        <v>0</v>
      </c>
      <c r="AX52" s="59" t="str">
        <f>CONCATENATE(C52,".",H52,)</f>
        <v>.</v>
      </c>
      <c r="AY52" s="60" t="e">
        <f>VLOOKUP(AX52,Лист1!$BM:$BM,1,0)</f>
        <v>#N/A</v>
      </c>
      <c r="AZ52" s="49" t="e">
        <f>IF(AX52=AY52,1,0)</f>
        <v>#N/A</v>
      </c>
      <c r="BA52" s="32" t="str">
        <f t="shared" si="118"/>
        <v>0</v>
      </c>
      <c r="BC52" s="59" t="str">
        <f>CONCATENATE(H52,".",I52,)</f>
        <v>.</v>
      </c>
      <c r="BD52" s="60" t="e">
        <f>VLOOKUP(BC52,Лист1!$BQ:$BQ,1,0)</f>
        <v>#N/A</v>
      </c>
      <c r="BE52" s="49" t="e">
        <f>IF(BC52=BD52,1,0)</f>
        <v>#N/A</v>
      </c>
      <c r="BF52" s="32" t="str">
        <f t="shared" si="121"/>
        <v>0</v>
      </c>
      <c r="BR52" s="59" t="str">
        <f>CONCATENATE(C52,".",E52,".",F52,".",L52)</f>
        <v>...</v>
      </c>
      <c r="BS52" s="60" t="e">
        <f>VLOOKUP(BR52,Лист1!$CC:$CC,1,0)</f>
        <v>#N/A</v>
      </c>
      <c r="BT52" s="49" t="e">
        <f>IF(BR52=BS52,1,0)</f>
        <v>#N/A</v>
      </c>
      <c r="BU52" s="32" t="str">
        <f t="shared" si="124"/>
        <v>0</v>
      </c>
      <c r="CB52" s="59" t="str">
        <f>CONCATENATE(L52,".",N52)</f>
        <v>.</v>
      </c>
      <c r="CC52" s="60" t="e">
        <f>VLOOKUP(CB52,Лист1!$CK:$CK,1,0)</f>
        <v>#N/A</v>
      </c>
      <c r="CD52" s="49" t="e">
        <f>IF(CB52=CC52,1,0)</f>
        <v>#N/A</v>
      </c>
      <c r="CE52" s="32" t="str">
        <f t="shared" si="127"/>
        <v>0</v>
      </c>
    </row>
    <row r="53" spans="1:83" x14ac:dyDescent="0.25">
      <c r="A53" s="23" t="str">
        <f>CONCATENATE(C53,".",D53)</f>
        <v>.</v>
      </c>
      <c r="B53" s="73">
        <v>7</v>
      </c>
      <c r="C53" s="432"/>
      <c r="D53" s="433"/>
      <c r="E53" s="434"/>
      <c r="F53" s="432"/>
      <c r="G53" s="435"/>
      <c r="H53" s="432"/>
      <c r="I53" s="755"/>
      <c r="J53" s="755"/>
      <c r="K53" s="756"/>
      <c r="L53" s="754"/>
      <c r="M53" s="755"/>
      <c r="N53" s="444"/>
      <c r="O53" s="432"/>
      <c r="P53" s="444"/>
      <c r="Q53" s="434"/>
      <c r="R53" s="186"/>
      <c r="S53" s="106"/>
      <c r="T53" s="180" t="str">
        <f>IF(OR(W53="",W53="0"),"",W53)</f>
        <v/>
      </c>
      <c r="U53" s="189" t="str">
        <f>IF(R53="","",IF(NOT(AC53=0),"Ошибка в строке",""))</f>
        <v/>
      </c>
      <c r="W53" s="123" t="str">
        <f>IF(OR(ISNA(X53),NOT(AC53=0)),"0",X53)</f>
        <v>0</v>
      </c>
      <c r="X53" s="120" t="str">
        <f>IF(OR(R53="",R53=0),"",ORDER!H77)</f>
        <v/>
      </c>
      <c r="Y53" s="60" t="str">
        <f>CONCATENATE(C53,".",E53,".",F53)</f>
        <v>..</v>
      </c>
      <c r="AB53" s="31">
        <f>AG53+AL53+AQ53+AV53+BA53+BF53+BK53+BP53+BU53+BZ53+CE53</f>
        <v>0</v>
      </c>
      <c r="AC53" s="68">
        <f t="shared" si="103"/>
        <v>8</v>
      </c>
      <c r="AD53" s="59" t="str">
        <f>CONCATENATE(C53,".",D53)</f>
        <v>.</v>
      </c>
      <c r="AE53" s="60" t="e">
        <f>VLOOKUP(AD53,Лист1!$AW:$AW,1,0)</f>
        <v>#N/A</v>
      </c>
      <c r="AF53" s="49" t="e">
        <f>IF(AD53=AE53,1,0)</f>
        <v>#N/A</v>
      </c>
      <c r="AG53" s="32" t="str">
        <f t="shared" si="106"/>
        <v>0</v>
      </c>
      <c r="AI53" s="59" t="str">
        <f>CONCATENATE(C53,".",D53,".",E53)</f>
        <v>..</v>
      </c>
      <c r="AJ53" s="60" t="e">
        <f>VLOOKUP(AI53,Лист1!$BA:$BA,1,0)</f>
        <v>#N/A</v>
      </c>
      <c r="AK53" s="49" t="e">
        <f>IF(AI53=AJ53,1,0)</f>
        <v>#N/A</v>
      </c>
      <c r="AL53" s="32" t="str">
        <f t="shared" si="109"/>
        <v>0</v>
      </c>
      <c r="AN53" s="59" t="str">
        <f>CONCATENATE(E53,".",F53,)</f>
        <v>.</v>
      </c>
      <c r="AO53" s="60" t="e">
        <f>VLOOKUP(AN53,Лист1!$BE:$BE,1,0)</f>
        <v>#N/A</v>
      </c>
      <c r="AP53" s="49" t="e">
        <f>IF(AN53=AO53,1,0)</f>
        <v>#N/A</v>
      </c>
      <c r="AQ53" s="32" t="str">
        <f t="shared" si="112"/>
        <v>0</v>
      </c>
      <c r="AS53" s="59" t="str">
        <f>CONCATENATE(F53,".",G53,)</f>
        <v>.</v>
      </c>
      <c r="AT53" s="60" t="e">
        <f>VLOOKUP(AS53,Лист1!$BI:$BI,1,0)</f>
        <v>#N/A</v>
      </c>
      <c r="AU53" s="49" t="e">
        <f>IF(AS53=AT53,1,0)</f>
        <v>#N/A</v>
      </c>
      <c r="AV53" s="32" t="str">
        <f t="shared" si="115"/>
        <v>0</v>
      </c>
      <c r="AX53" s="59" t="str">
        <f>CONCATENATE(C53,".",H53,)</f>
        <v>.</v>
      </c>
      <c r="AY53" s="60" t="e">
        <f>VLOOKUP(AX53,Лист1!$BM:$BM,1,0)</f>
        <v>#N/A</v>
      </c>
      <c r="AZ53" s="49" t="e">
        <f>IF(AX53=AY53,1,0)</f>
        <v>#N/A</v>
      </c>
      <c r="BA53" s="32" t="str">
        <f t="shared" si="118"/>
        <v>0</v>
      </c>
      <c r="BC53" s="59" t="str">
        <f>CONCATENATE(H53,".",I53,)</f>
        <v>.</v>
      </c>
      <c r="BD53" s="60" t="e">
        <f>VLOOKUP(BC53,Лист1!$BQ:$BQ,1,0)</f>
        <v>#N/A</v>
      </c>
      <c r="BE53" s="49" t="e">
        <f>IF(BC53=BD53,1,0)</f>
        <v>#N/A</v>
      </c>
      <c r="BF53" s="32" t="str">
        <f t="shared" si="121"/>
        <v>0</v>
      </c>
      <c r="BR53" s="59" t="str">
        <f>CONCATENATE(C53,".",E53,".",F53,".",L53)</f>
        <v>...</v>
      </c>
      <c r="BS53" s="60" t="e">
        <f>VLOOKUP(BR53,Лист1!$CC:$CC,1,0)</f>
        <v>#N/A</v>
      </c>
      <c r="BT53" s="49" t="e">
        <f>IF(BR53=BS53,1,0)</f>
        <v>#N/A</v>
      </c>
      <c r="BU53" s="32" t="str">
        <f t="shared" si="124"/>
        <v>0</v>
      </c>
      <c r="CB53" s="59" t="str">
        <f>CONCATENATE(L53,".",N53)</f>
        <v>.</v>
      </c>
      <c r="CC53" s="60" t="e">
        <f>VLOOKUP(CB53,Лист1!$CK:$CK,1,0)</f>
        <v>#N/A</v>
      </c>
      <c r="CD53" s="49" t="e">
        <f>IF(CB53=CC53,1,0)</f>
        <v>#N/A</v>
      </c>
      <c r="CE53" s="32" t="str">
        <f t="shared" si="127"/>
        <v>0</v>
      </c>
    </row>
    <row r="54" spans="1:83" x14ac:dyDescent="0.25">
      <c r="A54" s="23" t="str">
        <f>CONCATENATE(C54,".",D54)</f>
        <v>.</v>
      </c>
      <c r="B54" s="73">
        <v>8</v>
      </c>
      <c r="C54" s="432"/>
      <c r="D54" s="433"/>
      <c r="E54" s="434"/>
      <c r="F54" s="432"/>
      <c r="G54" s="435"/>
      <c r="H54" s="432"/>
      <c r="I54" s="755"/>
      <c r="J54" s="755"/>
      <c r="K54" s="756"/>
      <c r="L54" s="754"/>
      <c r="M54" s="755"/>
      <c r="N54" s="444"/>
      <c r="O54" s="432"/>
      <c r="P54" s="444"/>
      <c r="Q54" s="434"/>
      <c r="R54" s="186"/>
      <c r="S54" s="106"/>
      <c r="T54" s="180" t="str">
        <f>IF(OR(W54="",W54="0"),"",W54)</f>
        <v/>
      </c>
      <c r="U54" s="189" t="str">
        <f>IF(R54="","",IF(NOT(AC54=0),"Ошибка в строке",""))</f>
        <v/>
      </c>
      <c r="W54" s="123" t="str">
        <f>IF(OR(ISNA(X54),NOT(AC54=0)),"0",X54)</f>
        <v>0</v>
      </c>
      <c r="X54" s="120" t="str">
        <f>IF(OR(R54="",R54=0),"",ORDER!H78)</f>
        <v/>
      </c>
      <c r="Y54" s="60" t="str">
        <f>CONCATENATE(C54,".",E54,".",F54)</f>
        <v>..</v>
      </c>
      <c r="AB54" s="31">
        <f>AG54+AL54+AQ54+AV54+BA54+BF54+BK54+BP54+BU54+BZ54+CE54</f>
        <v>0</v>
      </c>
      <c r="AC54" s="68">
        <f t="shared" si="103"/>
        <v>8</v>
      </c>
      <c r="AD54" s="59" t="str">
        <f>CONCATENATE(C54,".",D54)</f>
        <v>.</v>
      </c>
      <c r="AE54" s="60" t="e">
        <f>VLOOKUP(AD54,Лист1!$AW:$AW,1,0)</f>
        <v>#N/A</v>
      </c>
      <c r="AF54" s="49" t="e">
        <f>IF(AD54=AE54,1,0)</f>
        <v>#N/A</v>
      </c>
      <c r="AG54" s="32" t="str">
        <f t="shared" si="106"/>
        <v>0</v>
      </c>
      <c r="AI54" s="59" t="str">
        <f>CONCATENATE(C54,".",D54,".",E54)</f>
        <v>..</v>
      </c>
      <c r="AJ54" s="60" t="e">
        <f>VLOOKUP(AI54,Лист1!$BA:$BA,1,0)</f>
        <v>#N/A</v>
      </c>
      <c r="AK54" s="49" t="e">
        <f>IF(AI54=AJ54,1,0)</f>
        <v>#N/A</v>
      </c>
      <c r="AL54" s="32" t="str">
        <f t="shared" si="109"/>
        <v>0</v>
      </c>
      <c r="AN54" s="59" t="str">
        <f>CONCATENATE(E54,".",F54,)</f>
        <v>.</v>
      </c>
      <c r="AO54" s="60" t="e">
        <f>VLOOKUP(AN54,Лист1!$BE:$BE,1,0)</f>
        <v>#N/A</v>
      </c>
      <c r="AP54" s="49" t="e">
        <f>IF(AN54=AO54,1,0)</f>
        <v>#N/A</v>
      </c>
      <c r="AQ54" s="32" t="str">
        <f t="shared" si="112"/>
        <v>0</v>
      </c>
      <c r="AS54" s="59" t="str">
        <f>CONCATENATE(F54,".",G54,)</f>
        <v>.</v>
      </c>
      <c r="AT54" s="60" t="e">
        <f>VLOOKUP(AS54,Лист1!$BI:$BI,1,0)</f>
        <v>#N/A</v>
      </c>
      <c r="AU54" s="49" t="e">
        <f>IF(AS54=AT54,1,0)</f>
        <v>#N/A</v>
      </c>
      <c r="AV54" s="32" t="str">
        <f t="shared" si="115"/>
        <v>0</v>
      </c>
      <c r="AX54" s="59" t="str">
        <f>CONCATENATE(C54,".",H54,)</f>
        <v>.</v>
      </c>
      <c r="AY54" s="60" t="e">
        <f>VLOOKUP(AX54,Лист1!$BM:$BM,1,0)</f>
        <v>#N/A</v>
      </c>
      <c r="AZ54" s="49" t="e">
        <f>IF(AX54=AY54,1,0)</f>
        <v>#N/A</v>
      </c>
      <c r="BA54" s="32" t="str">
        <f t="shared" si="118"/>
        <v>0</v>
      </c>
      <c r="BC54" s="59" t="str">
        <f>CONCATENATE(H54,".",I54,)</f>
        <v>.</v>
      </c>
      <c r="BD54" s="60" t="e">
        <f>VLOOKUP(BC54,Лист1!$BQ:$BQ,1,0)</f>
        <v>#N/A</v>
      </c>
      <c r="BE54" s="49" t="e">
        <f>IF(BC54=BD54,1,0)</f>
        <v>#N/A</v>
      </c>
      <c r="BF54" s="32" t="str">
        <f t="shared" si="121"/>
        <v>0</v>
      </c>
      <c r="BR54" s="59" t="str">
        <f>CONCATENATE(C54,".",E54,".",F54,".",L54)</f>
        <v>...</v>
      </c>
      <c r="BS54" s="60" t="e">
        <f>VLOOKUP(BR54,Лист1!$CC:$CC,1,0)</f>
        <v>#N/A</v>
      </c>
      <c r="BT54" s="49" t="e">
        <f>IF(BR54=BS54,1,0)</f>
        <v>#N/A</v>
      </c>
      <c r="BU54" s="32" t="str">
        <f t="shared" si="124"/>
        <v>0</v>
      </c>
      <c r="CB54" s="59" t="str">
        <f>CONCATENATE(L54,".",N54)</f>
        <v>.</v>
      </c>
      <c r="CC54" s="60" t="e">
        <f>VLOOKUP(CB54,Лист1!$CK:$CK,1,0)</f>
        <v>#N/A</v>
      </c>
      <c r="CD54" s="49" t="e">
        <f>IF(CB54=CC54,1,0)</f>
        <v>#N/A</v>
      </c>
      <c r="CE54" s="32" t="str">
        <f t="shared" si="127"/>
        <v>0</v>
      </c>
    </row>
    <row r="55" spans="1:83" x14ac:dyDescent="0.25">
      <c r="A55" s="23" t="str">
        <f t="shared" si="97"/>
        <v>.</v>
      </c>
      <c r="B55" s="73">
        <v>9</v>
      </c>
      <c r="C55" s="432"/>
      <c r="D55" s="433"/>
      <c r="E55" s="434"/>
      <c r="F55" s="432"/>
      <c r="G55" s="435"/>
      <c r="H55" s="432"/>
      <c r="I55" s="755"/>
      <c r="J55" s="755"/>
      <c r="K55" s="756"/>
      <c r="L55" s="754"/>
      <c r="M55" s="755"/>
      <c r="N55" s="444"/>
      <c r="O55" s="432"/>
      <c r="P55" s="444"/>
      <c r="Q55" s="434"/>
      <c r="R55" s="186"/>
      <c r="S55" s="107"/>
      <c r="T55" s="180" t="str">
        <f t="shared" si="98"/>
        <v/>
      </c>
      <c r="U55" s="189" t="str">
        <f t="shared" si="99"/>
        <v/>
      </c>
      <c r="W55" s="123" t="str">
        <f t="shared" si="100"/>
        <v>0</v>
      </c>
      <c r="X55" s="120" t="str">
        <f>IF(OR(R55="",R55=0),"",ORDER!H79)</f>
        <v/>
      </c>
      <c r="Y55" s="60" t="str">
        <f t="shared" si="101"/>
        <v>..</v>
      </c>
      <c r="AB55" s="31">
        <f t="shared" si="102"/>
        <v>0</v>
      </c>
      <c r="AC55" s="68">
        <f t="shared" si="103"/>
        <v>8</v>
      </c>
      <c r="AD55" s="59" t="str">
        <f t="shared" si="104"/>
        <v>.</v>
      </c>
      <c r="AE55" s="60" t="e">
        <f>VLOOKUP(AD55,Лист1!$AW:$AW,1,0)</f>
        <v>#N/A</v>
      </c>
      <c r="AF55" s="49" t="e">
        <f t="shared" si="105"/>
        <v>#N/A</v>
      </c>
      <c r="AG55" s="32" t="str">
        <f t="shared" si="106"/>
        <v>0</v>
      </c>
      <c r="AI55" s="59" t="str">
        <f t="shared" si="107"/>
        <v>..</v>
      </c>
      <c r="AJ55" s="60" t="e">
        <f>VLOOKUP(AI55,Лист1!$BA:$BA,1,0)</f>
        <v>#N/A</v>
      </c>
      <c r="AK55" s="49" t="e">
        <f t="shared" si="108"/>
        <v>#N/A</v>
      </c>
      <c r="AL55" s="32" t="str">
        <f t="shared" si="109"/>
        <v>0</v>
      </c>
      <c r="AN55" s="59" t="str">
        <f t="shared" si="110"/>
        <v>.</v>
      </c>
      <c r="AO55" s="60" t="e">
        <f>VLOOKUP(AN55,Лист1!$BE:$BE,1,0)</f>
        <v>#N/A</v>
      </c>
      <c r="AP55" s="49" t="e">
        <f t="shared" si="111"/>
        <v>#N/A</v>
      </c>
      <c r="AQ55" s="32" t="str">
        <f t="shared" si="112"/>
        <v>0</v>
      </c>
      <c r="AS55" s="59" t="str">
        <f t="shared" si="113"/>
        <v>.</v>
      </c>
      <c r="AT55" s="60" t="e">
        <f>VLOOKUP(AS55,Лист1!$BI:$BI,1,0)</f>
        <v>#N/A</v>
      </c>
      <c r="AU55" s="49" t="e">
        <f t="shared" si="114"/>
        <v>#N/A</v>
      </c>
      <c r="AV55" s="32" t="str">
        <f t="shared" si="115"/>
        <v>0</v>
      </c>
      <c r="AX55" s="59" t="str">
        <f t="shared" si="116"/>
        <v>.</v>
      </c>
      <c r="AY55" s="60" t="e">
        <f>VLOOKUP(AX55,Лист1!$BM:$BM,1,0)</f>
        <v>#N/A</v>
      </c>
      <c r="AZ55" s="49" t="e">
        <f t="shared" si="117"/>
        <v>#N/A</v>
      </c>
      <c r="BA55" s="32" t="str">
        <f t="shared" si="118"/>
        <v>0</v>
      </c>
      <c r="BC55" s="59" t="str">
        <f t="shared" si="119"/>
        <v>.</v>
      </c>
      <c r="BD55" s="60" t="e">
        <f>VLOOKUP(BC55,Лист1!$BQ:$BQ,1,0)</f>
        <v>#N/A</v>
      </c>
      <c r="BE55" s="49" t="e">
        <f t="shared" si="120"/>
        <v>#N/A</v>
      </c>
      <c r="BF55" s="32" t="str">
        <f t="shared" si="121"/>
        <v>0</v>
      </c>
      <c r="BR55" s="59" t="str">
        <f t="shared" si="122"/>
        <v>...</v>
      </c>
      <c r="BS55" s="60" t="e">
        <f>VLOOKUP(BR55,Лист1!$CC:$CC,1,0)</f>
        <v>#N/A</v>
      </c>
      <c r="BT55" s="49" t="e">
        <f t="shared" si="123"/>
        <v>#N/A</v>
      </c>
      <c r="BU55" s="32" t="str">
        <f t="shared" si="124"/>
        <v>0</v>
      </c>
      <c r="CB55" s="59" t="str">
        <f t="shared" si="125"/>
        <v>.</v>
      </c>
      <c r="CC55" s="60" t="e">
        <f>VLOOKUP(CB55,Лист1!$CK:$CK,1,0)</f>
        <v>#N/A</v>
      </c>
      <c r="CD55" s="49" t="e">
        <f t="shared" si="126"/>
        <v>#N/A</v>
      </c>
      <c r="CE55" s="32" t="str">
        <f t="shared" si="127"/>
        <v>0</v>
      </c>
    </row>
    <row r="56" spans="1:83" x14ac:dyDescent="0.25">
      <c r="A56" s="23" t="str">
        <f t="shared" si="97"/>
        <v>.</v>
      </c>
      <c r="B56" s="73">
        <v>10</v>
      </c>
      <c r="C56" s="432"/>
      <c r="D56" s="433"/>
      <c r="E56" s="434"/>
      <c r="F56" s="432"/>
      <c r="G56" s="435"/>
      <c r="H56" s="432"/>
      <c r="I56" s="755"/>
      <c r="J56" s="755"/>
      <c r="K56" s="756"/>
      <c r="L56" s="754"/>
      <c r="M56" s="755"/>
      <c r="N56" s="444"/>
      <c r="O56" s="432"/>
      <c r="P56" s="444"/>
      <c r="Q56" s="434"/>
      <c r="R56" s="186"/>
      <c r="S56" s="106"/>
      <c r="T56" s="180" t="str">
        <f t="shared" si="98"/>
        <v/>
      </c>
      <c r="U56" s="189" t="str">
        <f t="shared" si="99"/>
        <v/>
      </c>
      <c r="W56" s="123" t="str">
        <f t="shared" si="100"/>
        <v>0</v>
      </c>
      <c r="X56" s="120" t="str">
        <f>IF(OR(R56="",R56=0),"",ORDER!H80)</f>
        <v/>
      </c>
      <c r="Y56" s="60" t="str">
        <f t="shared" si="101"/>
        <v>..</v>
      </c>
      <c r="AB56" s="31">
        <f t="shared" si="102"/>
        <v>0</v>
      </c>
      <c r="AC56" s="68">
        <f t="shared" si="103"/>
        <v>8</v>
      </c>
      <c r="AD56" s="59" t="str">
        <f t="shared" si="104"/>
        <v>.</v>
      </c>
      <c r="AE56" s="60" t="e">
        <f>VLOOKUP(AD56,Лист1!$AW:$AW,1,0)</f>
        <v>#N/A</v>
      </c>
      <c r="AF56" s="49" t="e">
        <f t="shared" si="105"/>
        <v>#N/A</v>
      </c>
      <c r="AG56" s="32" t="str">
        <f t="shared" si="106"/>
        <v>0</v>
      </c>
      <c r="AI56" s="59" t="str">
        <f t="shared" si="107"/>
        <v>..</v>
      </c>
      <c r="AJ56" s="60" t="e">
        <f>VLOOKUP(AI56,Лист1!$BA:$BA,1,0)</f>
        <v>#N/A</v>
      </c>
      <c r="AK56" s="49" t="e">
        <f t="shared" si="108"/>
        <v>#N/A</v>
      </c>
      <c r="AL56" s="32" t="str">
        <f t="shared" si="109"/>
        <v>0</v>
      </c>
      <c r="AN56" s="59" t="str">
        <f t="shared" si="110"/>
        <v>.</v>
      </c>
      <c r="AO56" s="60" t="e">
        <f>VLOOKUP(AN56,Лист1!$BE:$BE,1,0)</f>
        <v>#N/A</v>
      </c>
      <c r="AP56" s="49" t="e">
        <f t="shared" si="111"/>
        <v>#N/A</v>
      </c>
      <c r="AQ56" s="32" t="str">
        <f t="shared" si="112"/>
        <v>0</v>
      </c>
      <c r="AS56" s="59" t="str">
        <f t="shared" si="113"/>
        <v>.</v>
      </c>
      <c r="AT56" s="60" t="e">
        <f>VLOOKUP(AS56,Лист1!$BI:$BI,1,0)</f>
        <v>#N/A</v>
      </c>
      <c r="AU56" s="49" t="e">
        <f t="shared" si="114"/>
        <v>#N/A</v>
      </c>
      <c r="AV56" s="32" t="str">
        <f t="shared" si="115"/>
        <v>0</v>
      </c>
      <c r="AX56" s="59" t="str">
        <f t="shared" si="116"/>
        <v>.</v>
      </c>
      <c r="AY56" s="60" t="e">
        <f>VLOOKUP(AX56,Лист1!$BM:$BM,1,0)</f>
        <v>#N/A</v>
      </c>
      <c r="AZ56" s="49" t="e">
        <f t="shared" si="117"/>
        <v>#N/A</v>
      </c>
      <c r="BA56" s="32" t="str">
        <f t="shared" si="118"/>
        <v>0</v>
      </c>
      <c r="BC56" s="59" t="str">
        <f t="shared" si="119"/>
        <v>.</v>
      </c>
      <c r="BD56" s="60" t="e">
        <f>VLOOKUP(BC56,Лист1!$BQ:$BQ,1,0)</f>
        <v>#N/A</v>
      </c>
      <c r="BE56" s="49" t="e">
        <f t="shared" si="120"/>
        <v>#N/A</v>
      </c>
      <c r="BF56" s="32" t="str">
        <f t="shared" si="121"/>
        <v>0</v>
      </c>
      <c r="BR56" s="59" t="str">
        <f t="shared" si="122"/>
        <v>...</v>
      </c>
      <c r="BS56" s="60" t="e">
        <f>VLOOKUP(BR56,Лист1!$CC:$CC,1,0)</f>
        <v>#N/A</v>
      </c>
      <c r="BT56" s="49" t="e">
        <f t="shared" si="123"/>
        <v>#N/A</v>
      </c>
      <c r="BU56" s="32" t="str">
        <f t="shared" si="124"/>
        <v>0</v>
      </c>
      <c r="CB56" s="59" t="str">
        <f t="shared" si="125"/>
        <v>.</v>
      </c>
      <c r="CC56" s="60" t="e">
        <f>VLOOKUP(CB56,Лист1!$CK:$CK,1,0)</f>
        <v>#N/A</v>
      </c>
      <c r="CD56" s="49" t="e">
        <f t="shared" si="126"/>
        <v>#N/A</v>
      </c>
      <c r="CE56" s="32" t="str">
        <f t="shared" si="127"/>
        <v>0</v>
      </c>
    </row>
    <row r="57" spans="1:83" x14ac:dyDescent="0.25">
      <c r="A57" s="23" t="str">
        <f t="shared" si="97"/>
        <v>.</v>
      </c>
      <c r="B57" s="73">
        <v>11</v>
      </c>
      <c r="C57" s="432"/>
      <c r="D57" s="433"/>
      <c r="E57" s="434"/>
      <c r="F57" s="432"/>
      <c r="G57" s="435"/>
      <c r="H57" s="432"/>
      <c r="I57" s="755"/>
      <c r="J57" s="755"/>
      <c r="K57" s="756"/>
      <c r="L57" s="754"/>
      <c r="M57" s="755"/>
      <c r="N57" s="444"/>
      <c r="O57" s="432"/>
      <c r="P57" s="444"/>
      <c r="Q57" s="434"/>
      <c r="R57" s="186"/>
      <c r="S57" s="106"/>
      <c r="T57" s="180" t="str">
        <f t="shared" si="98"/>
        <v/>
      </c>
      <c r="U57" s="189" t="str">
        <f t="shared" si="99"/>
        <v/>
      </c>
      <c r="W57" s="123" t="str">
        <f t="shared" si="100"/>
        <v>0</v>
      </c>
      <c r="X57" s="120" t="str">
        <f>IF(OR(R57="",R57=0),"",ORDER!H81)</f>
        <v/>
      </c>
      <c r="Y57" s="60" t="str">
        <f t="shared" si="101"/>
        <v>..</v>
      </c>
      <c r="AB57" s="31">
        <f t="shared" si="102"/>
        <v>0</v>
      </c>
      <c r="AC57" s="68">
        <f t="shared" si="103"/>
        <v>8</v>
      </c>
      <c r="AD57" s="59" t="str">
        <f t="shared" si="104"/>
        <v>.</v>
      </c>
      <c r="AE57" s="60" t="e">
        <f>VLOOKUP(AD57,Лист1!$AW:$AW,1,0)</f>
        <v>#N/A</v>
      </c>
      <c r="AF57" s="49" t="e">
        <f t="shared" si="105"/>
        <v>#N/A</v>
      </c>
      <c r="AG57" s="32" t="str">
        <f t="shared" si="106"/>
        <v>0</v>
      </c>
      <c r="AI57" s="59" t="str">
        <f t="shared" si="107"/>
        <v>..</v>
      </c>
      <c r="AJ57" s="60" t="e">
        <f>VLOOKUP(AI57,Лист1!$BA:$BA,1,0)</f>
        <v>#N/A</v>
      </c>
      <c r="AK57" s="49" t="e">
        <f t="shared" si="108"/>
        <v>#N/A</v>
      </c>
      <c r="AL57" s="32" t="str">
        <f t="shared" si="109"/>
        <v>0</v>
      </c>
      <c r="AN57" s="59" t="str">
        <f t="shared" si="110"/>
        <v>.</v>
      </c>
      <c r="AO57" s="60" t="e">
        <f>VLOOKUP(AN57,Лист1!$BE:$BE,1,0)</f>
        <v>#N/A</v>
      </c>
      <c r="AP57" s="49" t="e">
        <f t="shared" si="111"/>
        <v>#N/A</v>
      </c>
      <c r="AQ57" s="32" t="str">
        <f t="shared" si="112"/>
        <v>0</v>
      </c>
      <c r="AS57" s="59" t="str">
        <f t="shared" si="113"/>
        <v>.</v>
      </c>
      <c r="AT57" s="60" t="e">
        <f>VLOOKUP(AS57,Лист1!$BI:$BI,1,0)</f>
        <v>#N/A</v>
      </c>
      <c r="AU57" s="49" t="e">
        <f t="shared" si="114"/>
        <v>#N/A</v>
      </c>
      <c r="AV57" s="32" t="str">
        <f t="shared" si="115"/>
        <v>0</v>
      </c>
      <c r="AX57" s="59" t="str">
        <f t="shared" si="116"/>
        <v>.</v>
      </c>
      <c r="AY57" s="60" t="e">
        <f>VLOOKUP(AX57,Лист1!$BM:$BM,1,0)</f>
        <v>#N/A</v>
      </c>
      <c r="AZ57" s="49" t="e">
        <f t="shared" si="117"/>
        <v>#N/A</v>
      </c>
      <c r="BA57" s="32" t="str">
        <f t="shared" si="118"/>
        <v>0</v>
      </c>
      <c r="BC57" s="59" t="str">
        <f t="shared" si="119"/>
        <v>.</v>
      </c>
      <c r="BD57" s="60" t="e">
        <f>VLOOKUP(BC57,Лист1!$BQ:$BQ,1,0)</f>
        <v>#N/A</v>
      </c>
      <c r="BE57" s="49" t="e">
        <f t="shared" si="120"/>
        <v>#N/A</v>
      </c>
      <c r="BF57" s="32" t="str">
        <f t="shared" si="121"/>
        <v>0</v>
      </c>
      <c r="BR57" s="59" t="str">
        <f t="shared" si="122"/>
        <v>...</v>
      </c>
      <c r="BS57" s="60" t="e">
        <f>VLOOKUP(BR57,Лист1!$CC:$CC,1,0)</f>
        <v>#N/A</v>
      </c>
      <c r="BT57" s="49" t="e">
        <f t="shared" si="123"/>
        <v>#N/A</v>
      </c>
      <c r="BU57" s="32" t="str">
        <f t="shared" si="124"/>
        <v>0</v>
      </c>
      <c r="CB57" s="59" t="str">
        <f t="shared" si="125"/>
        <v>.</v>
      </c>
      <c r="CC57" s="60" t="e">
        <f>VLOOKUP(CB57,Лист1!$CK:$CK,1,0)</f>
        <v>#N/A</v>
      </c>
      <c r="CD57" s="49" t="e">
        <f t="shared" si="126"/>
        <v>#N/A</v>
      </c>
      <c r="CE57" s="32" t="str">
        <f t="shared" si="127"/>
        <v>0</v>
      </c>
    </row>
    <row r="58" spans="1:83" x14ac:dyDescent="0.25">
      <c r="A58" s="23" t="str">
        <f t="shared" si="97"/>
        <v>.</v>
      </c>
      <c r="B58" s="73">
        <v>12</v>
      </c>
      <c r="C58" s="432"/>
      <c r="D58" s="433"/>
      <c r="E58" s="434"/>
      <c r="F58" s="432"/>
      <c r="G58" s="435"/>
      <c r="H58" s="432"/>
      <c r="I58" s="755"/>
      <c r="J58" s="755"/>
      <c r="K58" s="756"/>
      <c r="L58" s="754"/>
      <c r="M58" s="755"/>
      <c r="N58" s="444"/>
      <c r="O58" s="432"/>
      <c r="P58" s="444"/>
      <c r="Q58" s="434"/>
      <c r="R58" s="186"/>
      <c r="S58" s="106"/>
      <c r="T58" s="180" t="str">
        <f t="shared" si="98"/>
        <v/>
      </c>
      <c r="U58" s="189" t="str">
        <f t="shared" si="99"/>
        <v/>
      </c>
      <c r="W58" s="123" t="str">
        <f t="shared" si="100"/>
        <v>0</v>
      </c>
      <c r="X58" s="120" t="str">
        <f>IF(OR(R58="",R58=0),"",ORDER!H82)</f>
        <v/>
      </c>
      <c r="Y58" s="60" t="str">
        <f t="shared" si="101"/>
        <v>..</v>
      </c>
      <c r="AB58" s="31">
        <f t="shared" si="102"/>
        <v>0</v>
      </c>
      <c r="AC58" s="68">
        <f t="shared" si="103"/>
        <v>8</v>
      </c>
      <c r="AD58" s="59" t="str">
        <f t="shared" si="104"/>
        <v>.</v>
      </c>
      <c r="AE58" s="60" t="e">
        <f>VLOOKUP(AD58,Лист1!$AW:$AW,1,0)</f>
        <v>#N/A</v>
      </c>
      <c r="AF58" s="49" t="e">
        <f t="shared" si="105"/>
        <v>#N/A</v>
      </c>
      <c r="AG58" s="32" t="str">
        <f t="shared" si="106"/>
        <v>0</v>
      </c>
      <c r="AI58" s="59" t="str">
        <f t="shared" si="107"/>
        <v>..</v>
      </c>
      <c r="AJ58" s="60" t="e">
        <f>VLOOKUP(AI58,Лист1!$BA:$BA,1,0)</f>
        <v>#N/A</v>
      </c>
      <c r="AK58" s="49" t="e">
        <f t="shared" si="108"/>
        <v>#N/A</v>
      </c>
      <c r="AL58" s="32" t="str">
        <f t="shared" si="109"/>
        <v>0</v>
      </c>
      <c r="AN58" s="59" t="str">
        <f t="shared" si="110"/>
        <v>.</v>
      </c>
      <c r="AO58" s="60" t="e">
        <f>VLOOKUP(AN58,Лист1!$BE:$BE,1,0)</f>
        <v>#N/A</v>
      </c>
      <c r="AP58" s="49" t="e">
        <f t="shared" si="111"/>
        <v>#N/A</v>
      </c>
      <c r="AQ58" s="32" t="str">
        <f t="shared" si="112"/>
        <v>0</v>
      </c>
      <c r="AS58" s="59" t="str">
        <f t="shared" si="113"/>
        <v>.</v>
      </c>
      <c r="AT58" s="60" t="e">
        <f>VLOOKUP(AS58,Лист1!$BI:$BI,1,0)</f>
        <v>#N/A</v>
      </c>
      <c r="AU58" s="49" t="e">
        <f t="shared" si="114"/>
        <v>#N/A</v>
      </c>
      <c r="AV58" s="32" t="str">
        <f t="shared" si="115"/>
        <v>0</v>
      </c>
      <c r="AX58" s="59" t="str">
        <f t="shared" si="116"/>
        <v>.</v>
      </c>
      <c r="AY58" s="60" t="e">
        <f>VLOOKUP(AX58,Лист1!$BM:$BM,1,0)</f>
        <v>#N/A</v>
      </c>
      <c r="AZ58" s="49" t="e">
        <f t="shared" si="117"/>
        <v>#N/A</v>
      </c>
      <c r="BA58" s="32" t="str">
        <f t="shared" si="118"/>
        <v>0</v>
      </c>
      <c r="BC58" s="59" t="str">
        <f t="shared" si="119"/>
        <v>.</v>
      </c>
      <c r="BD58" s="60" t="e">
        <f>VLOOKUP(BC58,Лист1!$BQ:$BQ,1,0)</f>
        <v>#N/A</v>
      </c>
      <c r="BE58" s="49" t="e">
        <f t="shared" si="120"/>
        <v>#N/A</v>
      </c>
      <c r="BF58" s="32" t="str">
        <f t="shared" si="121"/>
        <v>0</v>
      </c>
      <c r="BR58" s="59" t="str">
        <f t="shared" si="122"/>
        <v>...</v>
      </c>
      <c r="BS58" s="60" t="e">
        <f>VLOOKUP(BR58,Лист1!$CC:$CC,1,0)</f>
        <v>#N/A</v>
      </c>
      <c r="BT58" s="49" t="e">
        <f t="shared" si="123"/>
        <v>#N/A</v>
      </c>
      <c r="BU58" s="32" t="str">
        <f t="shared" si="124"/>
        <v>0</v>
      </c>
      <c r="CB58" s="59" t="str">
        <f t="shared" si="125"/>
        <v>.</v>
      </c>
      <c r="CC58" s="60" t="e">
        <f>VLOOKUP(CB58,Лист1!$CK:$CK,1,0)</f>
        <v>#N/A</v>
      </c>
      <c r="CD58" s="49" t="e">
        <f t="shared" si="126"/>
        <v>#N/A</v>
      </c>
      <c r="CE58" s="32" t="str">
        <f t="shared" si="127"/>
        <v>0</v>
      </c>
    </row>
    <row r="59" spans="1:83" x14ac:dyDescent="0.25">
      <c r="A59" s="23" t="str">
        <f t="shared" si="97"/>
        <v>.</v>
      </c>
      <c r="B59" s="73">
        <v>13</v>
      </c>
      <c r="C59" s="432"/>
      <c r="D59" s="433"/>
      <c r="E59" s="434"/>
      <c r="F59" s="432"/>
      <c r="G59" s="435"/>
      <c r="H59" s="432"/>
      <c r="I59" s="755"/>
      <c r="J59" s="755"/>
      <c r="K59" s="756"/>
      <c r="L59" s="754"/>
      <c r="M59" s="755"/>
      <c r="N59" s="444"/>
      <c r="O59" s="432"/>
      <c r="P59" s="444"/>
      <c r="Q59" s="434"/>
      <c r="R59" s="186"/>
      <c r="S59" s="106"/>
      <c r="T59" s="180" t="str">
        <f t="shared" si="98"/>
        <v/>
      </c>
      <c r="U59" s="189" t="str">
        <f t="shared" si="99"/>
        <v/>
      </c>
      <c r="W59" s="123" t="str">
        <f t="shared" si="100"/>
        <v>0</v>
      </c>
      <c r="X59" s="120" t="str">
        <f>IF(OR(R59="",R59=0),"",ORDER!H83)</f>
        <v/>
      </c>
      <c r="Y59" s="60" t="str">
        <f t="shared" si="101"/>
        <v>..</v>
      </c>
      <c r="AB59" s="31">
        <f t="shared" si="102"/>
        <v>0</v>
      </c>
      <c r="AC59" s="68">
        <f t="shared" si="103"/>
        <v>8</v>
      </c>
      <c r="AD59" s="59" t="str">
        <f t="shared" si="104"/>
        <v>.</v>
      </c>
      <c r="AE59" s="60" t="e">
        <f>VLOOKUP(AD59,Лист1!$AW:$AW,1,0)</f>
        <v>#N/A</v>
      </c>
      <c r="AF59" s="49" t="e">
        <f t="shared" si="105"/>
        <v>#N/A</v>
      </c>
      <c r="AG59" s="32" t="str">
        <f t="shared" si="106"/>
        <v>0</v>
      </c>
      <c r="AI59" s="59" t="str">
        <f t="shared" si="107"/>
        <v>..</v>
      </c>
      <c r="AJ59" s="60" t="e">
        <f>VLOOKUP(AI59,Лист1!$BA:$BA,1,0)</f>
        <v>#N/A</v>
      </c>
      <c r="AK59" s="49" t="e">
        <f t="shared" si="108"/>
        <v>#N/A</v>
      </c>
      <c r="AL59" s="32" t="str">
        <f t="shared" si="109"/>
        <v>0</v>
      </c>
      <c r="AN59" s="59" t="str">
        <f t="shared" si="110"/>
        <v>.</v>
      </c>
      <c r="AO59" s="60" t="e">
        <f>VLOOKUP(AN59,Лист1!$BE:$BE,1,0)</f>
        <v>#N/A</v>
      </c>
      <c r="AP59" s="49" t="e">
        <f t="shared" si="111"/>
        <v>#N/A</v>
      </c>
      <c r="AQ59" s="32" t="str">
        <f t="shared" si="112"/>
        <v>0</v>
      </c>
      <c r="AS59" s="59" t="str">
        <f t="shared" si="113"/>
        <v>.</v>
      </c>
      <c r="AT59" s="60" t="e">
        <f>VLOOKUP(AS59,Лист1!$BI:$BI,1,0)</f>
        <v>#N/A</v>
      </c>
      <c r="AU59" s="49" t="e">
        <f t="shared" si="114"/>
        <v>#N/A</v>
      </c>
      <c r="AV59" s="32" t="str">
        <f t="shared" si="115"/>
        <v>0</v>
      </c>
      <c r="AX59" s="59" t="str">
        <f t="shared" si="116"/>
        <v>.</v>
      </c>
      <c r="AY59" s="60" t="e">
        <f>VLOOKUP(AX59,Лист1!$BM:$BM,1,0)</f>
        <v>#N/A</v>
      </c>
      <c r="AZ59" s="49" t="e">
        <f t="shared" si="117"/>
        <v>#N/A</v>
      </c>
      <c r="BA59" s="32" t="str">
        <f t="shared" si="118"/>
        <v>0</v>
      </c>
      <c r="BC59" s="59" t="str">
        <f t="shared" si="119"/>
        <v>.</v>
      </c>
      <c r="BD59" s="60" t="e">
        <f>VLOOKUP(BC59,Лист1!$BQ:$BQ,1,0)</f>
        <v>#N/A</v>
      </c>
      <c r="BE59" s="49" t="e">
        <f t="shared" si="120"/>
        <v>#N/A</v>
      </c>
      <c r="BF59" s="32" t="str">
        <f t="shared" si="121"/>
        <v>0</v>
      </c>
      <c r="BR59" s="59" t="str">
        <f t="shared" si="122"/>
        <v>...</v>
      </c>
      <c r="BS59" s="60" t="e">
        <f>VLOOKUP(BR59,Лист1!$CC:$CC,1,0)</f>
        <v>#N/A</v>
      </c>
      <c r="BT59" s="49" t="e">
        <f t="shared" si="123"/>
        <v>#N/A</v>
      </c>
      <c r="BU59" s="32" t="str">
        <f t="shared" si="124"/>
        <v>0</v>
      </c>
      <c r="CB59" s="59" t="str">
        <f t="shared" si="125"/>
        <v>.</v>
      </c>
      <c r="CC59" s="60" t="e">
        <f>VLOOKUP(CB59,Лист1!$CK:$CK,1,0)</f>
        <v>#N/A</v>
      </c>
      <c r="CD59" s="49" t="e">
        <f t="shared" si="126"/>
        <v>#N/A</v>
      </c>
      <c r="CE59" s="32" t="str">
        <f t="shared" si="127"/>
        <v>0</v>
      </c>
    </row>
    <row r="60" spans="1:83" x14ac:dyDescent="0.25">
      <c r="A60" s="23" t="str">
        <f t="shared" si="97"/>
        <v>.</v>
      </c>
      <c r="B60" s="73">
        <v>14</v>
      </c>
      <c r="C60" s="432"/>
      <c r="D60" s="433"/>
      <c r="E60" s="434"/>
      <c r="F60" s="432"/>
      <c r="G60" s="435"/>
      <c r="H60" s="432"/>
      <c r="I60" s="755"/>
      <c r="J60" s="755"/>
      <c r="K60" s="756"/>
      <c r="L60" s="754"/>
      <c r="M60" s="755"/>
      <c r="N60" s="444"/>
      <c r="O60" s="432"/>
      <c r="P60" s="444"/>
      <c r="Q60" s="434"/>
      <c r="R60" s="186"/>
      <c r="S60" s="106"/>
      <c r="T60" s="180" t="str">
        <f t="shared" si="98"/>
        <v/>
      </c>
      <c r="U60" s="189" t="str">
        <f t="shared" si="99"/>
        <v/>
      </c>
      <c r="W60" s="123" t="str">
        <f t="shared" si="100"/>
        <v>0</v>
      </c>
      <c r="X60" s="120" t="str">
        <f>IF(OR(R60="",R60=0),"",ORDER!H84)</f>
        <v/>
      </c>
      <c r="Y60" s="60" t="str">
        <f t="shared" si="101"/>
        <v>..</v>
      </c>
      <c r="AB60" s="31">
        <f t="shared" si="102"/>
        <v>0</v>
      </c>
      <c r="AC60" s="68">
        <f t="shared" si="103"/>
        <v>8</v>
      </c>
      <c r="AD60" s="59" t="str">
        <f t="shared" si="104"/>
        <v>.</v>
      </c>
      <c r="AE60" s="60" t="e">
        <f>VLOOKUP(AD60,Лист1!$AW:$AW,1,0)</f>
        <v>#N/A</v>
      </c>
      <c r="AF60" s="49" t="e">
        <f t="shared" si="105"/>
        <v>#N/A</v>
      </c>
      <c r="AG60" s="32" t="str">
        <f t="shared" si="106"/>
        <v>0</v>
      </c>
      <c r="AI60" s="59" t="str">
        <f t="shared" si="107"/>
        <v>..</v>
      </c>
      <c r="AJ60" s="60" t="e">
        <f>VLOOKUP(AI60,Лист1!$BA:$BA,1,0)</f>
        <v>#N/A</v>
      </c>
      <c r="AK60" s="49" t="e">
        <f t="shared" si="108"/>
        <v>#N/A</v>
      </c>
      <c r="AL60" s="32" t="str">
        <f t="shared" si="109"/>
        <v>0</v>
      </c>
      <c r="AN60" s="59" t="str">
        <f t="shared" si="110"/>
        <v>.</v>
      </c>
      <c r="AO60" s="60" t="e">
        <f>VLOOKUP(AN60,Лист1!$BE:$BE,1,0)</f>
        <v>#N/A</v>
      </c>
      <c r="AP60" s="49" t="e">
        <f t="shared" si="111"/>
        <v>#N/A</v>
      </c>
      <c r="AQ60" s="32" t="str">
        <f t="shared" si="112"/>
        <v>0</v>
      </c>
      <c r="AS60" s="59" t="str">
        <f t="shared" si="113"/>
        <v>.</v>
      </c>
      <c r="AT60" s="60" t="e">
        <f>VLOOKUP(AS60,Лист1!$BI:$BI,1,0)</f>
        <v>#N/A</v>
      </c>
      <c r="AU60" s="49" t="e">
        <f t="shared" si="114"/>
        <v>#N/A</v>
      </c>
      <c r="AV60" s="32" t="str">
        <f t="shared" si="115"/>
        <v>0</v>
      </c>
      <c r="AX60" s="59" t="str">
        <f t="shared" si="116"/>
        <v>.</v>
      </c>
      <c r="AY60" s="60" t="e">
        <f>VLOOKUP(AX60,Лист1!$BM:$BM,1,0)</f>
        <v>#N/A</v>
      </c>
      <c r="AZ60" s="49" t="e">
        <f t="shared" si="117"/>
        <v>#N/A</v>
      </c>
      <c r="BA60" s="32" t="str">
        <f t="shared" si="118"/>
        <v>0</v>
      </c>
      <c r="BC60" s="59" t="str">
        <f t="shared" si="119"/>
        <v>.</v>
      </c>
      <c r="BD60" s="60" t="e">
        <f>VLOOKUP(BC60,Лист1!$BQ:$BQ,1,0)</f>
        <v>#N/A</v>
      </c>
      <c r="BE60" s="49" t="e">
        <f t="shared" si="120"/>
        <v>#N/A</v>
      </c>
      <c r="BF60" s="32" t="str">
        <f t="shared" si="121"/>
        <v>0</v>
      </c>
      <c r="BR60" s="59" t="str">
        <f t="shared" si="122"/>
        <v>...</v>
      </c>
      <c r="BS60" s="60" t="e">
        <f>VLOOKUP(BR60,Лист1!$CC:$CC,1,0)</f>
        <v>#N/A</v>
      </c>
      <c r="BT60" s="49" t="e">
        <f t="shared" si="123"/>
        <v>#N/A</v>
      </c>
      <c r="BU60" s="32" t="str">
        <f t="shared" si="124"/>
        <v>0</v>
      </c>
      <c r="CB60" s="59" t="str">
        <f t="shared" si="125"/>
        <v>.</v>
      </c>
      <c r="CC60" s="60" t="e">
        <f>VLOOKUP(CB60,Лист1!$CK:$CK,1,0)</f>
        <v>#N/A</v>
      </c>
      <c r="CD60" s="49" t="e">
        <f t="shared" si="126"/>
        <v>#N/A</v>
      </c>
      <c r="CE60" s="32" t="str">
        <f t="shared" si="127"/>
        <v>0</v>
      </c>
    </row>
    <row r="61" spans="1:83" x14ac:dyDescent="0.25">
      <c r="A61" s="23" t="str">
        <f t="shared" si="97"/>
        <v>.</v>
      </c>
      <c r="B61" s="73">
        <v>15</v>
      </c>
      <c r="C61" s="432"/>
      <c r="D61" s="433"/>
      <c r="E61" s="434"/>
      <c r="F61" s="425"/>
      <c r="G61" s="428"/>
      <c r="H61" s="432"/>
      <c r="I61" s="755"/>
      <c r="J61" s="755"/>
      <c r="K61" s="756"/>
      <c r="L61" s="766"/>
      <c r="M61" s="767"/>
      <c r="N61" s="445"/>
      <c r="O61" s="429"/>
      <c r="P61" s="446"/>
      <c r="Q61" s="447"/>
      <c r="R61" s="188"/>
      <c r="S61" s="168"/>
      <c r="T61" s="181" t="str">
        <f t="shared" si="98"/>
        <v/>
      </c>
      <c r="U61" s="191" t="str">
        <f t="shared" si="99"/>
        <v/>
      </c>
      <c r="W61" s="123" t="str">
        <f t="shared" si="100"/>
        <v>0</v>
      </c>
      <c r="X61" s="120" t="str">
        <f>IF(OR(R61="",R61=0),"",ORDER!H85)</f>
        <v/>
      </c>
      <c r="Y61" s="60" t="str">
        <f t="shared" si="101"/>
        <v>..</v>
      </c>
      <c r="AB61" s="31">
        <f t="shared" si="102"/>
        <v>0</v>
      </c>
      <c r="AC61" s="68">
        <f t="shared" si="103"/>
        <v>8</v>
      </c>
      <c r="AD61" s="59" t="str">
        <f t="shared" si="104"/>
        <v>.</v>
      </c>
      <c r="AE61" s="60" t="e">
        <f>VLOOKUP(AD61,Лист1!$AW:$AW,1,0)</f>
        <v>#N/A</v>
      </c>
      <c r="AF61" s="49" t="e">
        <f t="shared" si="105"/>
        <v>#N/A</v>
      </c>
      <c r="AG61" s="32" t="str">
        <f t="shared" si="106"/>
        <v>0</v>
      </c>
      <c r="AI61" s="59" t="str">
        <f t="shared" si="107"/>
        <v>..</v>
      </c>
      <c r="AJ61" s="60" t="e">
        <f>VLOOKUP(AI61,Лист1!$BA:$BA,1,0)</f>
        <v>#N/A</v>
      </c>
      <c r="AK61" s="49" t="e">
        <f t="shared" si="108"/>
        <v>#N/A</v>
      </c>
      <c r="AL61" s="32" t="str">
        <f t="shared" si="109"/>
        <v>0</v>
      </c>
      <c r="AN61" s="59" t="str">
        <f t="shared" si="110"/>
        <v>.</v>
      </c>
      <c r="AO61" s="60" t="e">
        <f>VLOOKUP(AN61,Лист1!$BE:$BE,1,0)</f>
        <v>#N/A</v>
      </c>
      <c r="AP61" s="49" t="e">
        <f t="shared" si="111"/>
        <v>#N/A</v>
      </c>
      <c r="AQ61" s="32" t="str">
        <f t="shared" si="112"/>
        <v>0</v>
      </c>
      <c r="AS61" s="59" t="str">
        <f t="shared" si="113"/>
        <v>.</v>
      </c>
      <c r="AT61" s="60" t="e">
        <f>VLOOKUP(AS61,Лист1!$BI:$BI,1,0)</f>
        <v>#N/A</v>
      </c>
      <c r="AU61" s="49" t="e">
        <f t="shared" si="114"/>
        <v>#N/A</v>
      </c>
      <c r="AV61" s="32" t="str">
        <f t="shared" si="115"/>
        <v>0</v>
      </c>
      <c r="AX61" s="59" t="str">
        <f t="shared" si="116"/>
        <v>.</v>
      </c>
      <c r="AY61" s="60" t="e">
        <f>VLOOKUP(AX61,Лист1!$BM:$BM,1,0)</f>
        <v>#N/A</v>
      </c>
      <c r="AZ61" s="49" t="e">
        <f t="shared" si="117"/>
        <v>#N/A</v>
      </c>
      <c r="BA61" s="32" t="str">
        <f t="shared" si="118"/>
        <v>0</v>
      </c>
      <c r="BC61" s="59" t="str">
        <f t="shared" si="119"/>
        <v>.</v>
      </c>
      <c r="BD61" s="60" t="e">
        <f>VLOOKUP(BC61,Лист1!$BQ:$BQ,1,0)</f>
        <v>#N/A</v>
      </c>
      <c r="BE61" s="49" t="e">
        <f t="shared" si="120"/>
        <v>#N/A</v>
      </c>
      <c r="BF61" s="32" t="str">
        <f t="shared" si="121"/>
        <v>0</v>
      </c>
      <c r="BR61" s="59" t="str">
        <f t="shared" si="122"/>
        <v>...</v>
      </c>
      <c r="BS61" s="60" t="e">
        <f>VLOOKUP(BR61,Лист1!$CC:$CC,1,0)</f>
        <v>#N/A</v>
      </c>
      <c r="BT61" s="49" t="e">
        <f t="shared" si="123"/>
        <v>#N/A</v>
      </c>
      <c r="BU61" s="32" t="str">
        <f t="shared" si="124"/>
        <v>0</v>
      </c>
      <c r="CB61" s="59" t="str">
        <f t="shared" si="125"/>
        <v>.</v>
      </c>
      <c r="CC61" s="60" t="e">
        <f>VLOOKUP(CB61,Лист1!$CK:$CK,1,0)</f>
        <v>#N/A</v>
      </c>
      <c r="CD61" s="49" t="e">
        <f t="shared" si="126"/>
        <v>#N/A</v>
      </c>
      <c r="CE61" s="32" t="str">
        <f t="shared" si="127"/>
        <v>0</v>
      </c>
    </row>
    <row r="62" spans="1:83" ht="5.0999999999999996" customHeight="1" x14ac:dyDescent="0.25">
      <c r="B62" s="169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W62" s="124"/>
      <c r="X62" s="121"/>
    </row>
    <row r="63" spans="1:83" x14ac:dyDescent="0.25">
      <c r="B63" s="725" t="s">
        <v>861</v>
      </c>
      <c r="C63" s="726"/>
      <c r="D63" s="726"/>
      <c r="E63" s="726"/>
      <c r="F63" s="726"/>
      <c r="G63" s="726"/>
      <c r="H63" s="726"/>
      <c r="I63" s="726"/>
      <c r="J63" s="726"/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7"/>
      <c r="W63" s="124"/>
      <c r="X63" s="121"/>
    </row>
    <row r="64" spans="1:83" ht="21" x14ac:dyDescent="0.25">
      <c r="B64" s="67" t="s">
        <v>159</v>
      </c>
      <c r="C64" s="732" t="s">
        <v>841</v>
      </c>
      <c r="D64" s="34" t="s">
        <v>177</v>
      </c>
      <c r="E64" s="33" t="s">
        <v>842</v>
      </c>
      <c r="F64" s="47" t="s">
        <v>854</v>
      </c>
      <c r="G64" s="48" t="s">
        <v>243</v>
      </c>
      <c r="H64" s="9" t="s">
        <v>178</v>
      </c>
      <c r="I64" s="782" t="s">
        <v>855</v>
      </c>
      <c r="J64" s="782"/>
      <c r="K64" s="769" t="s">
        <v>845</v>
      </c>
      <c r="L64" s="770"/>
      <c r="M64" s="770"/>
      <c r="N64" s="770"/>
      <c r="O64" s="159"/>
      <c r="P64" s="160"/>
      <c r="Q64" s="227"/>
      <c r="R64" s="78" t="s">
        <v>850</v>
      </c>
      <c r="S64" s="67" t="s">
        <v>851</v>
      </c>
      <c r="T64" s="75" t="s">
        <v>852</v>
      </c>
      <c r="U64" s="46" t="s">
        <v>853</v>
      </c>
      <c r="W64" s="124"/>
      <c r="X64" s="121"/>
      <c r="AD64" s="753" t="str">
        <f>D64</f>
        <v>мод</v>
      </c>
      <c r="AE64" s="753"/>
      <c r="AF64" s="753"/>
      <c r="AG64" s="753"/>
      <c r="AI64" s="753" t="str">
        <f>E64</f>
        <v xml:space="preserve">
викон.</v>
      </c>
      <c r="AJ64" s="753"/>
      <c r="AK64" s="753"/>
      <c r="AL64" s="753"/>
      <c r="AN64" s="753" t="str">
        <f t="shared" ref="AN64:AN69" si="128">F64</f>
        <v>вис.мм</v>
      </c>
      <c r="AO64" s="753"/>
      <c r="AP64" s="753"/>
      <c r="AQ64" s="753"/>
      <c r="AS64" s="753" t="str">
        <f t="shared" ref="AS64:AS69" si="129">G64</f>
        <v>шир.мм</v>
      </c>
      <c r="AT64" s="753"/>
      <c r="AU64" s="753"/>
      <c r="AV64" s="753"/>
      <c r="AX64" s="753" t="str">
        <f>H64</f>
        <v>декор</v>
      </c>
      <c r="AY64" s="753"/>
      <c r="AZ64" s="753"/>
      <c r="BA64" s="753"/>
      <c r="BC64" s="753" t="str">
        <f>I64</f>
        <v>колір</v>
      </c>
      <c r="BD64" s="753"/>
      <c r="BE64" s="753"/>
      <c r="BF64" s="753"/>
      <c r="BM64" s="753" t="str">
        <f>K64</f>
        <v>скло</v>
      </c>
      <c r="BN64" s="753"/>
      <c r="BO64" s="753"/>
      <c r="BP64" s="753"/>
    </row>
    <row r="65" spans="1:68" x14ac:dyDescent="0.25">
      <c r="A65" s="23" t="str">
        <f>CONCATENATE(C65,".",D65)</f>
        <v>.</v>
      </c>
      <c r="B65" s="171">
        <v>1</v>
      </c>
      <c r="C65" s="432"/>
      <c r="D65" s="433"/>
      <c r="E65" s="434"/>
      <c r="F65" s="448"/>
      <c r="G65" s="449"/>
      <c r="H65" s="432"/>
      <c r="I65" s="755"/>
      <c r="J65" s="755"/>
      <c r="K65" s="754"/>
      <c r="L65" s="755"/>
      <c r="M65" s="755"/>
      <c r="N65" s="755"/>
      <c r="O65" s="432"/>
      <c r="P65" s="444"/>
      <c r="Q65" s="434"/>
      <c r="R65" s="186"/>
      <c r="S65" s="108"/>
      <c r="T65" s="179" t="str">
        <f>IF(OR(W65="",W65="0"),"",W65)</f>
        <v/>
      </c>
      <c r="U65" s="190" t="str">
        <f>IF(R65="","",IF(NOT(AC65=0),"Ошибка в строке",""))</f>
        <v/>
      </c>
      <c r="W65" s="123" t="str">
        <f>IF(OR(ISNA(X65),NOT(AC65=0)),"0",X65)</f>
        <v>0</v>
      </c>
      <c r="X65" s="120" t="str">
        <f>IF(OR(R65="",R65=0),"",ORDER!H87)</f>
        <v/>
      </c>
      <c r="Y65" s="60" t="str">
        <f>CONCATENATE(C65,".",E65,".",F65)</f>
        <v>..</v>
      </c>
      <c r="AB65" s="31">
        <f>AG65+AL65+AQ65+AV65+BA65+BF65+BK65+BP65+BU65+BZ65+CE65</f>
        <v>2</v>
      </c>
      <c r="AC65" s="68">
        <f>7-AB65</f>
        <v>5</v>
      </c>
      <c r="AD65" s="59" t="str">
        <f>CONCATENATE(C65,".",D65)</f>
        <v>.</v>
      </c>
      <c r="AE65" s="60" t="e">
        <f>VLOOKUP(AD65,Лист1!$AW:$AW,1,0)</f>
        <v>#N/A</v>
      </c>
      <c r="AF65" s="49" t="e">
        <f>IF(AD65=AE65,1,0)</f>
        <v>#N/A</v>
      </c>
      <c r="AG65" s="32" t="str">
        <f>IF(ISNA(AF65),"0",AF65)</f>
        <v>0</v>
      </c>
      <c r="AI65" s="59" t="str">
        <f>CONCATENATE(C65,".",D65,".",E65)</f>
        <v>..</v>
      </c>
      <c r="AJ65" s="60" t="e">
        <f>VLOOKUP(AI65,Лист1!$BA:$BA,1,0)</f>
        <v>#N/A</v>
      </c>
      <c r="AK65" s="49" t="e">
        <f>IF(AI65=AJ65,1,0)</f>
        <v>#N/A</v>
      </c>
      <c r="AL65" s="32" t="str">
        <f>IF(ISNA(AK65),"0",AK65)</f>
        <v>0</v>
      </c>
      <c r="AN65" s="74">
        <f t="shared" si="128"/>
        <v>0</v>
      </c>
      <c r="AO65" s="60">
        <f>IF(AND(AN65&gt;=200,AN65&lt;=2070),AN65,0)</f>
        <v>0</v>
      </c>
      <c r="AP65" s="49">
        <f>IF(AN65=AO65,1,0)</f>
        <v>1</v>
      </c>
      <c r="AQ65" s="32">
        <f>IF(ISNA(AP65),"0",AP65)</f>
        <v>1</v>
      </c>
      <c r="AS65" s="74">
        <f t="shared" si="129"/>
        <v>0</v>
      </c>
      <c r="AT65" s="60">
        <f>IF(AND(AS65&gt;=200,AS65&lt;=2070),AS65,0)</f>
        <v>0</v>
      </c>
      <c r="AU65" s="49">
        <f>IF(AS65=AT65,1,0)</f>
        <v>1</v>
      </c>
      <c r="AV65" s="32">
        <f>IF(ISNA(AU65),"0",AU65)</f>
        <v>1</v>
      </c>
      <c r="AX65" s="59" t="str">
        <f>CONCATENATE(C65,".",H65,)</f>
        <v>.</v>
      </c>
      <c r="AY65" s="60" t="e">
        <f>VLOOKUP(AX65,Лист1!$BM:$BM,1,0)</f>
        <v>#N/A</v>
      </c>
      <c r="AZ65" s="49" t="e">
        <f>IF(AX65=AY65,1,0)</f>
        <v>#N/A</v>
      </c>
      <c r="BA65" s="32" t="str">
        <f>IF(ISNA(AZ65),"0",AZ65)</f>
        <v>0</v>
      </c>
      <c r="BC65" s="59" t="str">
        <f>CONCATENATE(H65,".",I65,)</f>
        <v>.</v>
      </c>
      <c r="BD65" s="60" t="e">
        <f>VLOOKUP(BC65,Лист1!$BQ:$BQ,1,0)</f>
        <v>#N/A</v>
      </c>
      <c r="BE65" s="49" t="e">
        <f>IF(BC65=BD65,1,0)</f>
        <v>#N/A</v>
      </c>
      <c r="BF65" s="32" t="str">
        <f>IF(ISNA(BE65),"0",BE65)</f>
        <v>0</v>
      </c>
      <c r="BM65" s="59" t="str">
        <f>CONCATENATE(C65,".",D65,".",K65)</f>
        <v>..</v>
      </c>
      <c r="BN65" s="60" t="e">
        <f>VLOOKUP(BM65,Лист1!$BY:$BY,1,0)</f>
        <v>#N/A</v>
      </c>
      <c r="BO65" s="49" t="e">
        <f>IF(BM65=BN65,1,0)</f>
        <v>#N/A</v>
      </c>
      <c r="BP65" s="32" t="str">
        <f>IF(ISNA(BO65),"0",BO65)</f>
        <v>0</v>
      </c>
    </row>
    <row r="66" spans="1:68" x14ac:dyDescent="0.25">
      <c r="A66" s="23" t="str">
        <f>CONCATENATE(C66,".",D66)</f>
        <v>.</v>
      </c>
      <c r="B66" s="73">
        <v>2</v>
      </c>
      <c r="C66" s="418"/>
      <c r="D66" s="419"/>
      <c r="E66" s="420"/>
      <c r="F66" s="450"/>
      <c r="G66" s="451"/>
      <c r="H66" s="418"/>
      <c r="I66" s="768"/>
      <c r="J66" s="768"/>
      <c r="K66" s="771"/>
      <c r="L66" s="768"/>
      <c r="M66" s="768"/>
      <c r="N66" s="768"/>
      <c r="O66" s="418"/>
      <c r="P66" s="452"/>
      <c r="Q66" s="420"/>
      <c r="R66" s="187"/>
      <c r="S66" s="105"/>
      <c r="T66" s="180" t="str">
        <f>IF(OR(W66="",W66="0"),"",W66)</f>
        <v/>
      </c>
      <c r="U66" s="189" t="str">
        <f>IF(R66="","",IF(NOT(AC66=0),"Ошибка в строке",""))</f>
        <v/>
      </c>
      <c r="W66" s="123" t="str">
        <f>IF(OR(ISNA(X66),NOT(AC66=0)),"0",X66)</f>
        <v>0</v>
      </c>
      <c r="X66" s="120" t="str">
        <f>IF(OR(R66="",R66=0),"",ORDER!H88)</f>
        <v/>
      </c>
      <c r="Y66" s="60" t="str">
        <f>CONCATENATE(C66,".",E66,".",F66)</f>
        <v>..</v>
      </c>
      <c r="AB66" s="31">
        <f>AG66+AL66+AQ66+AV66+BA66+BF66+BK66+BP66+BU66+BZ66+CE66</f>
        <v>2</v>
      </c>
      <c r="AC66" s="68">
        <f>7-AB66</f>
        <v>5</v>
      </c>
      <c r="AD66" s="59" t="str">
        <f>CONCATENATE(C66,".",D66)</f>
        <v>.</v>
      </c>
      <c r="AE66" s="60" t="e">
        <f>VLOOKUP(AD66,Лист1!$AW:$AW,1,0)</f>
        <v>#N/A</v>
      </c>
      <c r="AF66" s="49" t="e">
        <f>IF(AD66=AE66,1,0)</f>
        <v>#N/A</v>
      </c>
      <c r="AG66" s="32" t="str">
        <f>IF(ISNA(AF66),"0",AF66)</f>
        <v>0</v>
      </c>
      <c r="AI66" s="59" t="str">
        <f>CONCATENATE(C66,".",D66,".",E66)</f>
        <v>..</v>
      </c>
      <c r="AJ66" s="60" t="e">
        <f>VLOOKUP(AI66,Лист1!$BA:$BA,1,0)</f>
        <v>#N/A</v>
      </c>
      <c r="AK66" s="49" t="e">
        <f>IF(AI66=AJ66,1,0)</f>
        <v>#N/A</v>
      </c>
      <c r="AL66" s="32" t="str">
        <f>IF(ISNA(AK66),"0",AK66)</f>
        <v>0</v>
      </c>
      <c r="AN66" s="74">
        <f t="shared" si="128"/>
        <v>0</v>
      </c>
      <c r="AO66" s="60">
        <f>IF(AND(AN66&gt;=200,AN66&lt;=2070),AN66,0)</f>
        <v>0</v>
      </c>
      <c r="AP66" s="49">
        <f>IF(AN66=AO66,1,0)</f>
        <v>1</v>
      </c>
      <c r="AQ66" s="32">
        <f>IF(ISNA(AP66),"0",AP66)</f>
        <v>1</v>
      </c>
      <c r="AS66" s="74">
        <f t="shared" si="129"/>
        <v>0</v>
      </c>
      <c r="AT66" s="60">
        <f>IF(AND(AS66&gt;=200,AS66&lt;=2070),AS66,0)</f>
        <v>0</v>
      </c>
      <c r="AU66" s="49">
        <f>IF(AS66=AT66,1,0)</f>
        <v>1</v>
      </c>
      <c r="AV66" s="32">
        <f>IF(ISNA(AU66),"0",AU66)</f>
        <v>1</v>
      </c>
      <c r="AX66" s="59" t="str">
        <f>CONCATENATE(C66,".",H66,)</f>
        <v>.</v>
      </c>
      <c r="AY66" s="60" t="e">
        <f>VLOOKUP(AX66,Лист1!$BM:$BM,1,0)</f>
        <v>#N/A</v>
      </c>
      <c r="AZ66" s="49" t="e">
        <f>IF(AX66=AY66,1,0)</f>
        <v>#N/A</v>
      </c>
      <c r="BA66" s="32" t="str">
        <f>IF(ISNA(AZ66),"0",AZ66)</f>
        <v>0</v>
      </c>
      <c r="BC66" s="59" t="str">
        <f>CONCATENATE(H66,".",I66,)</f>
        <v>.</v>
      </c>
      <c r="BD66" s="60" t="e">
        <f>VLOOKUP(BC66,Лист1!$BQ:$BQ,1,0)</f>
        <v>#N/A</v>
      </c>
      <c r="BE66" s="49" t="e">
        <f>IF(BC66=BD66,1,0)</f>
        <v>#N/A</v>
      </c>
      <c r="BF66" s="32" t="str">
        <f>IF(ISNA(BE66),"0",BE66)</f>
        <v>0</v>
      </c>
      <c r="BM66" s="59" t="str">
        <f>CONCATENATE(C66,".",D66,".",K66)</f>
        <v>..</v>
      </c>
      <c r="BN66" s="60" t="e">
        <f>VLOOKUP(BM66,Лист1!$BY:$BY,1,0)</f>
        <v>#N/A</v>
      </c>
      <c r="BO66" s="49" t="e">
        <f>IF(BM66=BN66,1,0)</f>
        <v>#N/A</v>
      </c>
      <c r="BP66" s="32" t="str">
        <f>IF(ISNA(BO66),"0",BO66)</f>
        <v>0</v>
      </c>
    </row>
    <row r="67" spans="1:68" x14ac:dyDescent="0.25">
      <c r="A67" s="23" t="str">
        <f>CONCATENATE(C67,".",D67)</f>
        <v>.</v>
      </c>
      <c r="B67" s="171">
        <v>3</v>
      </c>
      <c r="C67" s="418"/>
      <c r="D67" s="419"/>
      <c r="E67" s="420"/>
      <c r="F67" s="450"/>
      <c r="G67" s="451"/>
      <c r="H67" s="418"/>
      <c r="I67" s="768"/>
      <c r="J67" s="768"/>
      <c r="K67" s="771"/>
      <c r="L67" s="768"/>
      <c r="M67" s="768"/>
      <c r="N67" s="768"/>
      <c r="O67" s="418"/>
      <c r="P67" s="452"/>
      <c r="Q67" s="420"/>
      <c r="R67" s="187"/>
      <c r="S67" s="105"/>
      <c r="T67" s="180" t="str">
        <f>IF(OR(W67="",W67="0"),"",W67)</f>
        <v/>
      </c>
      <c r="U67" s="189" t="str">
        <f>IF(R67="","",IF(NOT(AC67=0),"Ошибка в строке",""))</f>
        <v/>
      </c>
      <c r="W67" s="123" t="str">
        <f>IF(OR(ISNA(X67),NOT(AC67=0)),"0",X67)</f>
        <v>0</v>
      </c>
      <c r="X67" s="120" t="str">
        <f>IF(OR(R67="",R67=0),"",ORDER!H89)</f>
        <v/>
      </c>
      <c r="Y67" s="60" t="str">
        <f>CONCATENATE(C67,".",E67,".",F67)</f>
        <v>..</v>
      </c>
      <c r="AB67" s="31">
        <f>AG67+AL67+AQ67+AV67+BA67+BF67+BK67+BP67+BU67+BZ67+CE67</f>
        <v>2</v>
      </c>
      <c r="AC67" s="68">
        <f>7-AB67</f>
        <v>5</v>
      </c>
      <c r="AD67" s="59" t="str">
        <f>CONCATENATE(C67,".",D67)</f>
        <v>.</v>
      </c>
      <c r="AE67" s="60" t="e">
        <f>VLOOKUP(AD67,Лист1!$AW:$AW,1,0)</f>
        <v>#N/A</v>
      </c>
      <c r="AF67" s="49" t="e">
        <f>IF(AD67=AE67,1,0)</f>
        <v>#N/A</v>
      </c>
      <c r="AG67" s="32" t="str">
        <f>IF(ISNA(AF67),"0",AF67)</f>
        <v>0</v>
      </c>
      <c r="AI67" s="59" t="str">
        <f>CONCATENATE(C67,".",D67,".",E67)</f>
        <v>..</v>
      </c>
      <c r="AJ67" s="60" t="e">
        <f>VLOOKUP(AI67,Лист1!$BA:$BA,1,0)</f>
        <v>#N/A</v>
      </c>
      <c r="AK67" s="49" t="e">
        <f>IF(AI67=AJ67,1,0)</f>
        <v>#N/A</v>
      </c>
      <c r="AL67" s="32" t="str">
        <f>IF(ISNA(AK67),"0",AK67)</f>
        <v>0</v>
      </c>
      <c r="AN67" s="74">
        <f t="shared" si="128"/>
        <v>0</v>
      </c>
      <c r="AO67" s="60">
        <f>IF(AND(AN67&gt;=200,AN67&lt;=2070),AN67,0)</f>
        <v>0</v>
      </c>
      <c r="AP67" s="49">
        <f>IF(AN67=AO67,1,0)</f>
        <v>1</v>
      </c>
      <c r="AQ67" s="32">
        <f>IF(ISNA(AP67),"0",AP67)</f>
        <v>1</v>
      </c>
      <c r="AS67" s="74">
        <f t="shared" si="129"/>
        <v>0</v>
      </c>
      <c r="AT67" s="60">
        <f>IF(AND(AS67&gt;=200,AS67&lt;=2070),AS67,0)</f>
        <v>0</v>
      </c>
      <c r="AU67" s="49">
        <f>IF(AS67=AT67,1,0)</f>
        <v>1</v>
      </c>
      <c r="AV67" s="32">
        <f>IF(ISNA(AU67),"0",AU67)</f>
        <v>1</v>
      </c>
      <c r="AX67" s="59" t="str">
        <f>CONCATENATE(C67,".",H67,)</f>
        <v>.</v>
      </c>
      <c r="AY67" s="60" t="e">
        <f>VLOOKUP(AX67,Лист1!$BM:$BM,1,0)</f>
        <v>#N/A</v>
      </c>
      <c r="AZ67" s="49" t="e">
        <f>IF(AX67=AY67,1,0)</f>
        <v>#N/A</v>
      </c>
      <c r="BA67" s="32" t="str">
        <f>IF(ISNA(AZ67),"0",AZ67)</f>
        <v>0</v>
      </c>
      <c r="BC67" s="59" t="str">
        <f>CONCATENATE(H67,".",I67,)</f>
        <v>.</v>
      </c>
      <c r="BD67" s="60" t="e">
        <f>VLOOKUP(BC67,Лист1!$BQ:$BQ,1,0)</f>
        <v>#N/A</v>
      </c>
      <c r="BE67" s="49" t="e">
        <f>IF(BC67=BD67,1,0)</f>
        <v>#N/A</v>
      </c>
      <c r="BF67" s="32" t="str">
        <f>IF(ISNA(BE67),"0",BE67)</f>
        <v>0</v>
      </c>
      <c r="BM67" s="59" t="str">
        <f>CONCATENATE(C67,".",D67,".",K67)</f>
        <v>..</v>
      </c>
      <c r="BN67" s="60" t="e">
        <f>VLOOKUP(BM67,Лист1!$BY:$BY,1,0)</f>
        <v>#N/A</v>
      </c>
      <c r="BO67" s="49" t="e">
        <f>IF(BM67=BN67,1,0)</f>
        <v>#N/A</v>
      </c>
      <c r="BP67" s="32" t="str">
        <f>IF(ISNA(BO67),"0",BO67)</f>
        <v>0</v>
      </c>
    </row>
    <row r="68" spans="1:68" x14ac:dyDescent="0.25">
      <c r="A68" s="23" t="str">
        <f>CONCATENATE(C68,".",D68)</f>
        <v>.</v>
      </c>
      <c r="B68" s="73">
        <v>4</v>
      </c>
      <c r="C68" s="418"/>
      <c r="D68" s="419"/>
      <c r="E68" s="420"/>
      <c r="F68" s="450"/>
      <c r="G68" s="451"/>
      <c r="H68" s="418"/>
      <c r="I68" s="768"/>
      <c r="J68" s="768"/>
      <c r="K68" s="771"/>
      <c r="L68" s="768"/>
      <c r="M68" s="768"/>
      <c r="N68" s="768"/>
      <c r="O68" s="418"/>
      <c r="P68" s="452"/>
      <c r="Q68" s="420"/>
      <c r="R68" s="187"/>
      <c r="S68" s="105"/>
      <c r="T68" s="180" t="str">
        <f>IF(OR(W68="",W68="0"),"",W68)</f>
        <v/>
      </c>
      <c r="U68" s="189" t="str">
        <f>IF(R68="","",IF(NOT(AC68=0),"Ошибка в строке",""))</f>
        <v/>
      </c>
      <c r="W68" s="123" t="str">
        <f>IF(OR(ISNA(X68),NOT(AC68=0)),"0",X68)</f>
        <v>0</v>
      </c>
      <c r="X68" s="120" t="str">
        <f>IF(OR(R68="",R68=0),"",ORDER!H90)</f>
        <v/>
      </c>
      <c r="Y68" s="60" t="str">
        <f>CONCATENATE(C68,".",E68,".",F68)</f>
        <v>..</v>
      </c>
      <c r="AB68" s="31">
        <f>AG68+AL68+AQ68+AV68+BA68+BF68+BK68+BP68+BU68+BZ68+CE68</f>
        <v>2</v>
      </c>
      <c r="AC68" s="68">
        <f>7-AB68</f>
        <v>5</v>
      </c>
      <c r="AD68" s="59" t="str">
        <f>CONCATENATE(C68,".",D68)</f>
        <v>.</v>
      </c>
      <c r="AE68" s="60" t="e">
        <f>VLOOKUP(AD68,Лист1!$AW:$AW,1,0)</f>
        <v>#N/A</v>
      </c>
      <c r="AF68" s="49" t="e">
        <f>IF(AD68=AE68,1,0)</f>
        <v>#N/A</v>
      </c>
      <c r="AG68" s="32" t="str">
        <f>IF(ISNA(AF68),"0",AF68)</f>
        <v>0</v>
      </c>
      <c r="AI68" s="59" t="str">
        <f>CONCATENATE(C68,".",D68,".",E68)</f>
        <v>..</v>
      </c>
      <c r="AJ68" s="60" t="e">
        <f>VLOOKUP(AI68,Лист1!$BA:$BA,1,0)</f>
        <v>#N/A</v>
      </c>
      <c r="AK68" s="49" t="e">
        <f>IF(AI68=AJ68,1,0)</f>
        <v>#N/A</v>
      </c>
      <c r="AL68" s="32" t="str">
        <f>IF(ISNA(AK68),"0",AK68)</f>
        <v>0</v>
      </c>
      <c r="AN68" s="74">
        <f t="shared" si="128"/>
        <v>0</v>
      </c>
      <c r="AO68" s="60">
        <f>IF(AND(AN68&gt;=200,AN68&lt;=2070),AN68,0)</f>
        <v>0</v>
      </c>
      <c r="AP68" s="49">
        <f>IF(AN68=AO68,1,0)</f>
        <v>1</v>
      </c>
      <c r="AQ68" s="32">
        <f>IF(ISNA(AP68),"0",AP68)</f>
        <v>1</v>
      </c>
      <c r="AS68" s="74">
        <f t="shared" si="129"/>
        <v>0</v>
      </c>
      <c r="AT68" s="60">
        <f>IF(AND(AS68&gt;=200,AS68&lt;=2070),AS68,0)</f>
        <v>0</v>
      </c>
      <c r="AU68" s="49">
        <f>IF(AS68=AT68,1,0)</f>
        <v>1</v>
      </c>
      <c r="AV68" s="32">
        <f>IF(ISNA(AU68),"0",AU68)</f>
        <v>1</v>
      </c>
      <c r="AX68" s="59" t="str">
        <f>CONCATENATE(C68,".",H68,)</f>
        <v>.</v>
      </c>
      <c r="AY68" s="60" t="e">
        <f>VLOOKUP(AX68,Лист1!$BM:$BM,1,0)</f>
        <v>#N/A</v>
      </c>
      <c r="AZ68" s="49" t="e">
        <f>IF(AX68=AY68,1,0)</f>
        <v>#N/A</v>
      </c>
      <c r="BA68" s="32" t="str">
        <f>IF(ISNA(AZ68),"0",AZ68)</f>
        <v>0</v>
      </c>
      <c r="BC68" s="59" t="str">
        <f>CONCATENATE(H68,".",I68,)</f>
        <v>.</v>
      </c>
      <c r="BD68" s="60" t="e">
        <f>VLOOKUP(BC68,Лист1!$BQ:$BQ,1,0)</f>
        <v>#N/A</v>
      </c>
      <c r="BE68" s="49" t="e">
        <f>IF(BC68=BD68,1,0)</f>
        <v>#N/A</v>
      </c>
      <c r="BF68" s="32" t="str">
        <f>IF(ISNA(BE68),"0",BE68)</f>
        <v>0</v>
      </c>
      <c r="BM68" s="59" t="str">
        <f>CONCATENATE(C68,".",D68,".",K68)</f>
        <v>..</v>
      </c>
      <c r="BN68" s="60" t="e">
        <f>VLOOKUP(BM68,Лист1!$BY:$BY,1,0)</f>
        <v>#N/A</v>
      </c>
      <c r="BO68" s="49" t="e">
        <f>IF(BM68=BN68,1,0)</f>
        <v>#N/A</v>
      </c>
      <c r="BP68" s="32" t="str">
        <f>IF(ISNA(BO68),"0",BO68)</f>
        <v>0</v>
      </c>
    </row>
    <row r="69" spans="1:68" x14ac:dyDescent="0.25">
      <c r="A69" s="23" t="str">
        <f>CONCATENATE(C69,".",D69)</f>
        <v>.</v>
      </c>
      <c r="B69" s="171">
        <v>5</v>
      </c>
      <c r="C69" s="425"/>
      <c r="D69" s="426"/>
      <c r="E69" s="427"/>
      <c r="F69" s="453"/>
      <c r="G69" s="454"/>
      <c r="H69" s="425"/>
      <c r="I69" s="767"/>
      <c r="J69" s="767"/>
      <c r="K69" s="766"/>
      <c r="L69" s="767"/>
      <c r="M69" s="767"/>
      <c r="N69" s="767"/>
      <c r="O69" s="429"/>
      <c r="P69" s="446"/>
      <c r="Q69" s="447"/>
      <c r="R69" s="188"/>
      <c r="S69" s="174"/>
      <c r="T69" s="181" t="str">
        <f>IF(OR(W69="",W69="0"),"",W69)</f>
        <v/>
      </c>
      <c r="U69" s="191" t="str">
        <f>IF(R69="","",IF(NOT(AC69=0),"Ошибка в строке",""))</f>
        <v/>
      </c>
      <c r="W69" s="123" t="str">
        <f>IF(OR(ISNA(X69),NOT(AC69=0)),"0",X69)</f>
        <v>0</v>
      </c>
      <c r="X69" s="120" t="str">
        <f>IF(OR(R69="",R69=0),"",ORDER!H91)</f>
        <v/>
      </c>
      <c r="Y69" s="60" t="str">
        <f>CONCATENATE(C69,".",E69,".",F69)</f>
        <v>..</v>
      </c>
      <c r="AB69" s="31">
        <f>AG69+AL69+AQ69+AV69+BA69+BF69+BK69+BP69+BU69+BZ69+CE69</f>
        <v>2</v>
      </c>
      <c r="AC69" s="68">
        <f>7-AB69</f>
        <v>5</v>
      </c>
      <c r="AD69" s="59" t="str">
        <f>CONCATENATE(C69,".",D69)</f>
        <v>.</v>
      </c>
      <c r="AE69" s="60" t="e">
        <f>VLOOKUP(AD69,Лист1!$AW:$AW,1,0)</f>
        <v>#N/A</v>
      </c>
      <c r="AF69" s="49" t="e">
        <f>IF(AD69=AE69,1,0)</f>
        <v>#N/A</v>
      </c>
      <c r="AG69" s="32" t="str">
        <f>IF(ISNA(AF69),"0",AF69)</f>
        <v>0</v>
      </c>
      <c r="AI69" s="59" t="str">
        <f>CONCATENATE(C69,".",D69,".",E69)</f>
        <v>..</v>
      </c>
      <c r="AJ69" s="60" t="e">
        <f>VLOOKUP(AI69,Лист1!$BA:$BA,1,0)</f>
        <v>#N/A</v>
      </c>
      <c r="AK69" s="49" t="e">
        <f>IF(AI69=AJ69,1,0)</f>
        <v>#N/A</v>
      </c>
      <c r="AL69" s="32" t="str">
        <f>IF(ISNA(AK69),"0",AK69)</f>
        <v>0</v>
      </c>
      <c r="AN69" s="74">
        <f t="shared" si="128"/>
        <v>0</v>
      </c>
      <c r="AO69" s="60">
        <f>IF(AND(AN69&gt;=200,AN69&lt;=2070),AN69,0)</f>
        <v>0</v>
      </c>
      <c r="AP69" s="49">
        <f>IF(AN69=AO69,1,0)</f>
        <v>1</v>
      </c>
      <c r="AQ69" s="32">
        <f>IF(ISNA(AP69),"0",AP69)</f>
        <v>1</v>
      </c>
      <c r="AS69" s="74">
        <f t="shared" si="129"/>
        <v>0</v>
      </c>
      <c r="AT69" s="60">
        <f>IF(AND(AS69&gt;=200,AS69&lt;=2070),AS69,0)</f>
        <v>0</v>
      </c>
      <c r="AU69" s="49">
        <f>IF(AS69=AT69,1,0)</f>
        <v>1</v>
      </c>
      <c r="AV69" s="32">
        <f>IF(ISNA(AU69),"0",AU69)</f>
        <v>1</v>
      </c>
      <c r="AX69" s="59" t="str">
        <f>CONCATENATE(C69,".",H69,)</f>
        <v>.</v>
      </c>
      <c r="AY69" s="60" t="e">
        <f>VLOOKUP(AX69,Лист1!$BM:$BM,1,0)</f>
        <v>#N/A</v>
      </c>
      <c r="AZ69" s="49" t="e">
        <f>IF(AX69=AY69,1,0)</f>
        <v>#N/A</v>
      </c>
      <c r="BA69" s="32" t="str">
        <f>IF(ISNA(AZ69),"0",AZ69)</f>
        <v>0</v>
      </c>
      <c r="BC69" s="59" t="str">
        <f>CONCATENATE(H69,".",I69,)</f>
        <v>.</v>
      </c>
      <c r="BD69" s="60" t="e">
        <f>VLOOKUP(BC69,Лист1!$BQ:$BQ,1,0)</f>
        <v>#N/A</v>
      </c>
      <c r="BE69" s="49" t="e">
        <f>IF(BC69=BD69,1,0)</f>
        <v>#N/A</v>
      </c>
      <c r="BF69" s="32" t="str">
        <f>IF(ISNA(BE69),"0",BE69)</f>
        <v>0</v>
      </c>
      <c r="BM69" s="59" t="str">
        <f>CONCATENATE(C69,".",D69,".",K69)</f>
        <v>..</v>
      </c>
      <c r="BN69" s="60" t="e">
        <f>VLOOKUP(BM69,Лист1!$BY:$BY,1,0)</f>
        <v>#N/A</v>
      </c>
      <c r="BO69" s="49" t="e">
        <f>IF(BM69=BN69,1,0)</f>
        <v>#N/A</v>
      </c>
      <c r="BP69" s="32" t="str">
        <f>IF(ISNA(BO69),"0",BO69)</f>
        <v>0</v>
      </c>
    </row>
    <row r="70" spans="1:68" ht="5.0999999999999996" customHeight="1" x14ac:dyDescent="0.25">
      <c r="B70" s="177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W70" s="124"/>
      <c r="X70" s="121"/>
    </row>
    <row r="71" spans="1:68" x14ac:dyDescent="0.25">
      <c r="B71" s="725" t="s">
        <v>862</v>
      </c>
      <c r="C71" s="726"/>
      <c r="D71" s="726"/>
      <c r="E71" s="726"/>
      <c r="F71" s="726"/>
      <c r="G71" s="726"/>
      <c r="H71" s="726"/>
      <c r="I71" s="726"/>
      <c r="J71" s="726"/>
      <c r="K71" s="726"/>
      <c r="L71" s="726"/>
      <c r="M71" s="726"/>
      <c r="N71" s="726"/>
      <c r="O71" s="726"/>
      <c r="P71" s="726"/>
      <c r="Q71" s="726"/>
      <c r="R71" s="726"/>
      <c r="S71" s="726"/>
      <c r="T71" s="726"/>
      <c r="U71" s="727"/>
      <c r="W71" s="124"/>
      <c r="X71" s="121"/>
    </row>
    <row r="72" spans="1:68" ht="21" x14ac:dyDescent="0.25">
      <c r="B72" s="67" t="s">
        <v>159</v>
      </c>
      <c r="C72" s="779" t="s">
        <v>856</v>
      </c>
      <c r="D72" s="780"/>
      <c r="E72" s="33" t="s">
        <v>842</v>
      </c>
      <c r="F72" s="47" t="s">
        <v>857</v>
      </c>
      <c r="G72" s="48" t="s">
        <v>117</v>
      </c>
      <c r="H72" s="9" t="s">
        <v>178</v>
      </c>
      <c r="I72" s="782" t="s">
        <v>855</v>
      </c>
      <c r="J72" s="782"/>
      <c r="K72" s="782"/>
      <c r="L72" s="782"/>
      <c r="M72" s="782"/>
      <c r="N72" s="783"/>
      <c r="O72" s="204"/>
      <c r="P72" s="730"/>
      <c r="Q72" s="731"/>
      <c r="R72" s="78" t="s">
        <v>850</v>
      </c>
      <c r="S72" s="67" t="s">
        <v>851</v>
      </c>
      <c r="T72" s="75" t="s">
        <v>852</v>
      </c>
      <c r="U72" s="46" t="s">
        <v>853</v>
      </c>
      <c r="W72" s="124"/>
      <c r="X72" s="121"/>
      <c r="AI72" s="753" t="str">
        <f>E72</f>
        <v xml:space="preserve">
викон.</v>
      </c>
      <c r="AJ72" s="753"/>
      <c r="AK72" s="753"/>
      <c r="AL72" s="753"/>
      <c r="AN72" s="753" t="str">
        <f>F72</f>
        <v>розмір</v>
      </c>
      <c r="AO72" s="753"/>
      <c r="AP72" s="753"/>
      <c r="AQ72" s="753"/>
      <c r="AS72" s="753" t="str">
        <f>G72</f>
        <v>ширина</v>
      </c>
      <c r="AT72" s="753"/>
      <c r="AU72" s="753"/>
      <c r="AV72" s="753"/>
      <c r="AX72" s="753" t="str">
        <f>H72</f>
        <v>декор</v>
      </c>
      <c r="AY72" s="753"/>
      <c r="AZ72" s="753"/>
      <c r="BA72" s="753"/>
      <c r="BC72" s="753" t="str">
        <f>I72</f>
        <v>колір</v>
      </c>
      <c r="BD72" s="753"/>
      <c r="BE72" s="753"/>
      <c r="BF72" s="753"/>
    </row>
    <row r="73" spans="1:68" x14ac:dyDescent="0.25">
      <c r="A73" s="23" t="str">
        <f>CONCATENATE(C73)</f>
        <v/>
      </c>
      <c r="B73" s="171">
        <v>1</v>
      </c>
      <c r="C73" s="754"/>
      <c r="D73" s="755"/>
      <c r="E73" s="434"/>
      <c r="F73" s="432"/>
      <c r="G73" s="435"/>
      <c r="H73" s="432"/>
      <c r="I73" s="755"/>
      <c r="J73" s="755"/>
      <c r="K73" s="755"/>
      <c r="L73" s="755"/>
      <c r="M73" s="755"/>
      <c r="N73" s="756"/>
      <c r="O73" s="432"/>
      <c r="P73" s="444"/>
      <c r="Q73" s="434"/>
      <c r="R73" s="186"/>
      <c r="S73" s="172"/>
      <c r="T73" s="182" t="str">
        <f t="shared" ref="T73:T82" si="130">IF(OR(W73="",W73="0"),"",W73)</f>
        <v/>
      </c>
      <c r="U73" s="192" t="str">
        <f t="shared" ref="U73:U82" si="131">IF(R73="","",IF(NOT(AC73=0),"Ошибка в строке",""))</f>
        <v/>
      </c>
      <c r="W73" s="123" t="str">
        <f>IF(OR(ISNA(X73),NOT(AC73=0)),"0",X73)</f>
        <v>0</v>
      </c>
      <c r="X73" s="120" t="str">
        <f>IF(OR(R73="",R73=0),"",ORDER!H93)</f>
        <v/>
      </c>
      <c r="Y73" s="60" t="str">
        <f>CONCATENATE(C73,".",E73,".",F73)</f>
        <v>..</v>
      </c>
      <c r="AB73" s="31">
        <f>AG73+AL73+AQ73+AV73+BA73+BF73+BK73+BP73+BU73+BZ73+CE73</f>
        <v>0</v>
      </c>
      <c r="AC73" s="68">
        <f>5-AB73</f>
        <v>5</v>
      </c>
      <c r="AI73" s="59" t="str">
        <f>CONCATENATE(C73,".",E73)</f>
        <v>.</v>
      </c>
      <c r="AJ73" s="60" t="e">
        <f>VLOOKUP(AI73,Лист1!$BA:$BA,1,0)</f>
        <v>#N/A</v>
      </c>
      <c r="AK73" s="49" t="e">
        <f>IF(AI73=AJ73,1,0)</f>
        <v>#N/A</v>
      </c>
      <c r="AL73" s="32" t="str">
        <f>IF(ISNA(AK73),"0",AK73)</f>
        <v>0</v>
      </c>
      <c r="AN73" s="59" t="str">
        <f>CONCATENATE(E73,".",F73,)</f>
        <v>.</v>
      </c>
      <c r="AO73" s="60" t="e">
        <f>VLOOKUP(AN73,Лист1!$BE:$BE,1,0)</f>
        <v>#N/A</v>
      </c>
      <c r="AP73" s="49" t="e">
        <f>IF(AN73=AO73,1,0)</f>
        <v>#N/A</v>
      </c>
      <c r="AQ73" s="32" t="str">
        <f>IF(ISNA(AP73),"0",AP73)</f>
        <v>0</v>
      </c>
      <c r="AS73" s="59" t="str">
        <f>CONCATENATE(F73,".",G73,)</f>
        <v>.</v>
      </c>
      <c r="AT73" s="60" t="e">
        <f>VLOOKUP(AS73,Лист1!$BI:$BI,1,0)</f>
        <v>#N/A</v>
      </c>
      <c r="AU73" s="49" t="e">
        <f>IF(AS73=AT73,1,0)</f>
        <v>#N/A</v>
      </c>
      <c r="AV73" s="32" t="str">
        <f>IF(ISNA(AU73),"0",AU73)</f>
        <v>0</v>
      </c>
      <c r="AX73" s="59" t="str">
        <f>CONCATENATE(C73,".",H73,)</f>
        <v>.</v>
      </c>
      <c r="AY73" s="60" t="e">
        <f>VLOOKUP(AX73,Лист1!$BM:$BM,1,0)</f>
        <v>#N/A</v>
      </c>
      <c r="AZ73" s="49" t="e">
        <f>IF(AX73=AY73,1,0)</f>
        <v>#N/A</v>
      </c>
      <c r="BA73" s="32" t="str">
        <f>IF(ISNA(AZ73),"0",AZ73)</f>
        <v>0</v>
      </c>
      <c r="BC73" s="59" t="str">
        <f>CONCATENATE(H73,".",I73,)</f>
        <v>.</v>
      </c>
      <c r="BD73" s="60" t="e">
        <f>VLOOKUP(BC73,Лист1!$BQ:$BQ,1,0)</f>
        <v>#N/A</v>
      </c>
      <c r="BE73" s="49" t="e">
        <f>IF(BC73=BD73,1,0)</f>
        <v>#N/A</v>
      </c>
      <c r="BF73" s="32" t="str">
        <f>IF(ISNA(BE73),"0",BE73)</f>
        <v>0</v>
      </c>
    </row>
    <row r="74" spans="1:68" x14ac:dyDescent="0.25">
      <c r="A74" s="23" t="str">
        <f>CONCATENATE(C74)</f>
        <v/>
      </c>
      <c r="B74" s="73">
        <v>2</v>
      </c>
      <c r="C74" s="754"/>
      <c r="D74" s="755"/>
      <c r="E74" s="434"/>
      <c r="F74" s="432"/>
      <c r="G74" s="435"/>
      <c r="H74" s="432"/>
      <c r="I74" s="755"/>
      <c r="J74" s="755"/>
      <c r="K74" s="755"/>
      <c r="L74" s="755"/>
      <c r="M74" s="755"/>
      <c r="N74" s="756"/>
      <c r="O74" s="432"/>
      <c r="P74" s="444"/>
      <c r="Q74" s="434"/>
      <c r="R74" s="186"/>
      <c r="S74" s="103"/>
      <c r="T74" s="182" t="str">
        <f t="shared" si="130"/>
        <v/>
      </c>
      <c r="U74" s="193" t="str">
        <f>IF(R74="","",IF(NOT(AC74=0),"Ошибка в строке",""))</f>
        <v/>
      </c>
      <c r="W74" s="123" t="str">
        <f t="shared" ref="W74:W82" si="132">IF(OR(ISNA(X74),NOT(AC74=0)),"0",X74)</f>
        <v>0</v>
      </c>
      <c r="X74" s="120" t="str">
        <f>IF(OR(R74="",R74=0),"",ORDER!H94)</f>
        <v/>
      </c>
      <c r="Y74" s="60" t="str">
        <f t="shared" ref="Y74:Y82" si="133">CONCATENATE(C74,".",E74,".",F74)</f>
        <v>..</v>
      </c>
      <c r="AB74" s="31">
        <f t="shared" ref="AB74:AB82" si="134">AG74+AL74+AQ74+AV74+BA74+BF74+BK74+BP74+BU74+BZ74+CE74</f>
        <v>0</v>
      </c>
      <c r="AC74" s="68">
        <f t="shared" ref="AC74:AC82" si="135">5-AB74</f>
        <v>5</v>
      </c>
      <c r="AI74" s="59" t="str">
        <f t="shared" ref="AI74:AI82" si="136">CONCATENATE(C74,".",E74)</f>
        <v>.</v>
      </c>
      <c r="AJ74" s="60" t="e">
        <f>VLOOKUP(AI74,Лист1!$BA:$BA,1,0)</f>
        <v>#N/A</v>
      </c>
      <c r="AK74" s="49" t="e">
        <f t="shared" ref="AK74:AK82" si="137">IF(AI74=AJ74,1,0)</f>
        <v>#N/A</v>
      </c>
      <c r="AL74" s="32" t="str">
        <f t="shared" ref="AL74:AL82" si="138">IF(ISNA(AK74),"0",AK74)</f>
        <v>0</v>
      </c>
      <c r="AN74" s="59" t="str">
        <f>CONCATENATE(E74,".",F74,)</f>
        <v>.</v>
      </c>
      <c r="AO74" s="60" t="e">
        <f>VLOOKUP(AN74,Лист1!$BE:$BE,1,0)</f>
        <v>#N/A</v>
      </c>
      <c r="AP74" s="49" t="e">
        <f>IF(AN74=AO74,1,0)</f>
        <v>#N/A</v>
      </c>
      <c r="AQ74" s="32" t="str">
        <f t="shared" ref="AQ74:AQ82" si="139">IF(ISNA(AP74),"0",AP74)</f>
        <v>0</v>
      </c>
      <c r="AS74" s="59" t="str">
        <f>CONCATENATE(F74,".",G74,)</f>
        <v>.</v>
      </c>
      <c r="AT74" s="60" t="e">
        <f>VLOOKUP(AS74,Лист1!$BI:$BI,1,0)</f>
        <v>#N/A</v>
      </c>
      <c r="AU74" s="49" t="e">
        <f t="shared" ref="AU74:AU82" si="140">IF(AS74=AT74,1,0)</f>
        <v>#N/A</v>
      </c>
      <c r="AV74" s="32" t="str">
        <f t="shared" ref="AV74:AV82" si="141">IF(ISNA(AU74),"0",AU74)</f>
        <v>0</v>
      </c>
      <c r="AX74" s="59" t="str">
        <f t="shared" ref="AX74:AX82" si="142">CONCATENATE(C74,".",H74,)</f>
        <v>.</v>
      </c>
      <c r="AY74" s="60" t="e">
        <f>VLOOKUP(AX74,Лист1!$BM:$BM,1,0)</f>
        <v>#N/A</v>
      </c>
      <c r="AZ74" s="49" t="e">
        <f t="shared" ref="AZ74:AZ82" si="143">IF(AX74=AY74,1,0)</f>
        <v>#N/A</v>
      </c>
      <c r="BA74" s="32" t="str">
        <f t="shared" ref="BA74:BA82" si="144">IF(ISNA(AZ74),"0",AZ74)</f>
        <v>0</v>
      </c>
      <c r="BC74" s="59" t="str">
        <f t="shared" ref="BC74:BC82" si="145">CONCATENATE(H74,".",I74,)</f>
        <v>.</v>
      </c>
      <c r="BD74" s="60" t="e">
        <f>VLOOKUP(BC74,Лист1!$BQ:$BQ,1,0)</f>
        <v>#N/A</v>
      </c>
      <c r="BE74" s="49" t="e">
        <f t="shared" ref="BE74:BE82" si="146">IF(BC74=BD74,1,0)</f>
        <v>#N/A</v>
      </c>
      <c r="BF74" s="32" t="str">
        <f t="shared" ref="BF74:BF82" si="147">IF(ISNA(BE74),"0",BE74)</f>
        <v>0</v>
      </c>
    </row>
    <row r="75" spans="1:68" x14ac:dyDescent="0.25">
      <c r="A75" s="23" t="str">
        <f>CONCATENATE(C75)</f>
        <v/>
      </c>
      <c r="B75" s="73">
        <v>3</v>
      </c>
      <c r="C75" s="754"/>
      <c r="D75" s="755"/>
      <c r="E75" s="434"/>
      <c r="F75" s="432"/>
      <c r="G75" s="435"/>
      <c r="H75" s="432"/>
      <c r="I75" s="755"/>
      <c r="J75" s="755"/>
      <c r="K75" s="755"/>
      <c r="L75" s="755"/>
      <c r="M75" s="755"/>
      <c r="N75" s="756"/>
      <c r="O75" s="432"/>
      <c r="P75" s="444"/>
      <c r="Q75" s="434"/>
      <c r="R75" s="186"/>
      <c r="S75" s="103"/>
      <c r="T75" s="182" t="str">
        <f t="shared" si="130"/>
        <v/>
      </c>
      <c r="U75" s="193" t="str">
        <f t="shared" si="131"/>
        <v/>
      </c>
      <c r="W75" s="123" t="str">
        <f t="shared" si="132"/>
        <v>0</v>
      </c>
      <c r="X75" s="120" t="str">
        <f>IF(OR(R75="",R75=0),"",ORDER!H95)</f>
        <v/>
      </c>
      <c r="Y75" s="60" t="str">
        <f t="shared" si="133"/>
        <v>..</v>
      </c>
      <c r="AB75" s="31">
        <f t="shared" si="134"/>
        <v>0</v>
      </c>
      <c r="AC75" s="68">
        <f t="shared" si="135"/>
        <v>5</v>
      </c>
      <c r="AI75" s="59" t="str">
        <f t="shared" si="136"/>
        <v>.</v>
      </c>
      <c r="AJ75" s="60" t="e">
        <f>VLOOKUP(AI75,Лист1!$BA:$BA,1,0)</f>
        <v>#N/A</v>
      </c>
      <c r="AK75" s="49" t="e">
        <f t="shared" si="137"/>
        <v>#N/A</v>
      </c>
      <c r="AL75" s="32" t="str">
        <f t="shared" si="138"/>
        <v>0</v>
      </c>
      <c r="AN75" s="59" t="str">
        <f t="shared" ref="AN75:AN82" si="148">CONCATENATE(E75,".",F75,)</f>
        <v>.</v>
      </c>
      <c r="AO75" s="60" t="e">
        <f>VLOOKUP(AN75,Лист1!$BE:$BE,1,0)</f>
        <v>#N/A</v>
      </c>
      <c r="AP75" s="49" t="e">
        <f t="shared" ref="AP75:AP82" si="149">IF(AN75=AO75,1,0)</f>
        <v>#N/A</v>
      </c>
      <c r="AQ75" s="32" t="str">
        <f t="shared" si="139"/>
        <v>0</v>
      </c>
      <c r="AS75" s="59" t="str">
        <f>CONCATENATE(F75,".",G75,)</f>
        <v>.</v>
      </c>
      <c r="AT75" s="60" t="e">
        <f>VLOOKUP(AS75,Лист1!$BI:$BI,1,0)</f>
        <v>#N/A</v>
      </c>
      <c r="AU75" s="49" t="e">
        <f t="shared" si="140"/>
        <v>#N/A</v>
      </c>
      <c r="AV75" s="32" t="str">
        <f t="shared" si="141"/>
        <v>0</v>
      </c>
      <c r="AX75" s="59" t="str">
        <f t="shared" si="142"/>
        <v>.</v>
      </c>
      <c r="AY75" s="60" t="e">
        <f>VLOOKUP(AX75,Лист1!$BM:$BM,1,0)</f>
        <v>#N/A</v>
      </c>
      <c r="AZ75" s="49" t="e">
        <f t="shared" si="143"/>
        <v>#N/A</v>
      </c>
      <c r="BA75" s="32" t="str">
        <f t="shared" si="144"/>
        <v>0</v>
      </c>
      <c r="BC75" s="59" t="str">
        <f t="shared" si="145"/>
        <v>.</v>
      </c>
      <c r="BD75" s="60" t="e">
        <f>VLOOKUP(BC75,Лист1!$BQ:$BQ,1,0)</f>
        <v>#N/A</v>
      </c>
      <c r="BE75" s="49" t="e">
        <f t="shared" si="146"/>
        <v>#N/A</v>
      </c>
      <c r="BF75" s="32" t="str">
        <f t="shared" si="147"/>
        <v>0</v>
      </c>
    </row>
    <row r="76" spans="1:68" x14ac:dyDescent="0.25">
      <c r="A76" s="23" t="str">
        <f t="shared" ref="A76:A93" si="150">CONCATENATE(C76)</f>
        <v/>
      </c>
      <c r="B76" s="73">
        <v>4</v>
      </c>
      <c r="C76" s="771"/>
      <c r="D76" s="768"/>
      <c r="E76" s="434"/>
      <c r="F76" s="432"/>
      <c r="G76" s="435"/>
      <c r="H76" s="432"/>
      <c r="I76" s="755"/>
      <c r="J76" s="755"/>
      <c r="K76" s="755"/>
      <c r="L76" s="755"/>
      <c r="M76" s="755"/>
      <c r="N76" s="756"/>
      <c r="O76" s="432"/>
      <c r="P76" s="444"/>
      <c r="Q76" s="434"/>
      <c r="R76" s="186"/>
      <c r="S76" s="103"/>
      <c r="T76" s="182" t="str">
        <f t="shared" si="130"/>
        <v/>
      </c>
      <c r="U76" s="193" t="str">
        <f t="shared" si="131"/>
        <v/>
      </c>
      <c r="W76" s="123" t="str">
        <f t="shared" si="132"/>
        <v>0</v>
      </c>
      <c r="X76" s="120" t="str">
        <f>IF(OR(R76="",R76=0),"",ORDER!H96)</f>
        <v/>
      </c>
      <c r="Y76" s="60" t="str">
        <f t="shared" si="133"/>
        <v>..</v>
      </c>
      <c r="AB76" s="31">
        <f t="shared" si="134"/>
        <v>0</v>
      </c>
      <c r="AC76" s="68">
        <f t="shared" si="135"/>
        <v>5</v>
      </c>
      <c r="AI76" s="59" t="str">
        <f t="shared" si="136"/>
        <v>.</v>
      </c>
      <c r="AJ76" s="60" t="e">
        <f>VLOOKUP(AI76,Лист1!$BA:$BA,1,0)</f>
        <v>#N/A</v>
      </c>
      <c r="AK76" s="49" t="e">
        <f t="shared" si="137"/>
        <v>#N/A</v>
      </c>
      <c r="AL76" s="32" t="str">
        <f t="shared" si="138"/>
        <v>0</v>
      </c>
      <c r="AN76" s="59" t="str">
        <f t="shared" si="148"/>
        <v>.</v>
      </c>
      <c r="AO76" s="60" t="e">
        <f>VLOOKUP(AN76,Лист1!$BE:$BE,1,0)</f>
        <v>#N/A</v>
      </c>
      <c r="AP76" s="49" t="e">
        <f t="shared" si="149"/>
        <v>#N/A</v>
      </c>
      <c r="AQ76" s="32" t="str">
        <f t="shared" si="139"/>
        <v>0</v>
      </c>
      <c r="AS76" s="59" t="str">
        <f t="shared" ref="AS76:AS82" si="151">CONCATENATE(F76,".",G76,)</f>
        <v>.</v>
      </c>
      <c r="AT76" s="60" t="e">
        <f>VLOOKUP(AS76,Лист1!$BI:$BI,1,0)</f>
        <v>#N/A</v>
      </c>
      <c r="AU76" s="49" t="e">
        <f t="shared" si="140"/>
        <v>#N/A</v>
      </c>
      <c r="AV76" s="32" t="str">
        <f t="shared" si="141"/>
        <v>0</v>
      </c>
      <c r="AX76" s="59" t="str">
        <f t="shared" si="142"/>
        <v>.</v>
      </c>
      <c r="AY76" s="60" t="e">
        <f>VLOOKUP(AX76,Лист1!$BM:$BM,1,0)</f>
        <v>#N/A</v>
      </c>
      <c r="AZ76" s="49" t="e">
        <f t="shared" si="143"/>
        <v>#N/A</v>
      </c>
      <c r="BA76" s="32" t="str">
        <f t="shared" si="144"/>
        <v>0</v>
      </c>
      <c r="BC76" s="59" t="str">
        <f t="shared" si="145"/>
        <v>.</v>
      </c>
      <c r="BD76" s="60" t="e">
        <f>VLOOKUP(BC76,Лист1!$BQ:$BQ,1,0)</f>
        <v>#N/A</v>
      </c>
      <c r="BE76" s="49" t="e">
        <f t="shared" si="146"/>
        <v>#N/A</v>
      </c>
      <c r="BF76" s="32" t="str">
        <f t="shared" si="147"/>
        <v>0</v>
      </c>
    </row>
    <row r="77" spans="1:68" x14ac:dyDescent="0.25">
      <c r="A77" s="23" t="str">
        <f t="shared" si="150"/>
        <v/>
      </c>
      <c r="B77" s="73">
        <v>5</v>
      </c>
      <c r="C77" s="754"/>
      <c r="D77" s="755"/>
      <c r="E77" s="434"/>
      <c r="F77" s="432"/>
      <c r="G77" s="435"/>
      <c r="H77" s="432"/>
      <c r="I77" s="755"/>
      <c r="J77" s="755"/>
      <c r="K77" s="755"/>
      <c r="L77" s="755"/>
      <c r="M77" s="755"/>
      <c r="N77" s="756"/>
      <c r="O77" s="432"/>
      <c r="P77" s="444"/>
      <c r="Q77" s="434"/>
      <c r="R77" s="186"/>
      <c r="S77" s="103"/>
      <c r="T77" s="182" t="str">
        <f t="shared" si="130"/>
        <v/>
      </c>
      <c r="U77" s="193" t="str">
        <f t="shared" si="131"/>
        <v/>
      </c>
      <c r="W77" s="123" t="str">
        <f t="shared" si="132"/>
        <v>0</v>
      </c>
      <c r="X77" s="120" t="str">
        <f>IF(OR(R77="",R77=0),"",ORDER!H97)</f>
        <v/>
      </c>
      <c r="Y77" s="60" t="str">
        <f t="shared" si="133"/>
        <v>..</v>
      </c>
      <c r="AB77" s="31">
        <f t="shared" si="134"/>
        <v>0</v>
      </c>
      <c r="AC77" s="68">
        <f t="shared" si="135"/>
        <v>5</v>
      </c>
      <c r="AI77" s="59" t="str">
        <f t="shared" si="136"/>
        <v>.</v>
      </c>
      <c r="AJ77" s="60" t="e">
        <f>VLOOKUP(AI77,Лист1!$BA:$BA,1,0)</f>
        <v>#N/A</v>
      </c>
      <c r="AK77" s="49" t="e">
        <f t="shared" si="137"/>
        <v>#N/A</v>
      </c>
      <c r="AL77" s="32" t="str">
        <f t="shared" si="138"/>
        <v>0</v>
      </c>
      <c r="AN77" s="59" t="str">
        <f t="shared" si="148"/>
        <v>.</v>
      </c>
      <c r="AO77" s="60" t="e">
        <f>VLOOKUP(AN77,Лист1!$BE:$BE,1,0)</f>
        <v>#N/A</v>
      </c>
      <c r="AP77" s="49" t="e">
        <f t="shared" si="149"/>
        <v>#N/A</v>
      </c>
      <c r="AQ77" s="32" t="str">
        <f t="shared" si="139"/>
        <v>0</v>
      </c>
      <c r="AS77" s="59" t="str">
        <f t="shared" si="151"/>
        <v>.</v>
      </c>
      <c r="AT77" s="60" t="e">
        <f>VLOOKUP(AS77,Лист1!$BI:$BI,1,0)</f>
        <v>#N/A</v>
      </c>
      <c r="AU77" s="49" t="e">
        <f t="shared" si="140"/>
        <v>#N/A</v>
      </c>
      <c r="AV77" s="32" t="str">
        <f t="shared" si="141"/>
        <v>0</v>
      </c>
      <c r="AX77" s="59" t="str">
        <f t="shared" si="142"/>
        <v>.</v>
      </c>
      <c r="AY77" s="60" t="e">
        <f>VLOOKUP(AX77,Лист1!$BM:$BM,1,0)</f>
        <v>#N/A</v>
      </c>
      <c r="AZ77" s="49" t="e">
        <f t="shared" si="143"/>
        <v>#N/A</v>
      </c>
      <c r="BA77" s="32" t="str">
        <f t="shared" si="144"/>
        <v>0</v>
      </c>
      <c r="BC77" s="59" t="str">
        <f t="shared" si="145"/>
        <v>.</v>
      </c>
      <c r="BD77" s="60" t="e">
        <f>VLOOKUP(BC77,Лист1!$BQ:$BQ,1,0)</f>
        <v>#N/A</v>
      </c>
      <c r="BE77" s="49" t="e">
        <f t="shared" si="146"/>
        <v>#N/A</v>
      </c>
      <c r="BF77" s="32" t="str">
        <f t="shared" si="147"/>
        <v>0</v>
      </c>
    </row>
    <row r="78" spans="1:68" x14ac:dyDescent="0.25">
      <c r="A78" s="23" t="str">
        <f>CONCATENATE(C78)</f>
        <v/>
      </c>
      <c r="B78" s="73">
        <v>6</v>
      </c>
      <c r="C78" s="771"/>
      <c r="D78" s="768"/>
      <c r="E78" s="434"/>
      <c r="F78" s="432"/>
      <c r="G78" s="435"/>
      <c r="H78" s="432"/>
      <c r="I78" s="755"/>
      <c r="J78" s="755"/>
      <c r="K78" s="755"/>
      <c r="L78" s="755"/>
      <c r="M78" s="755"/>
      <c r="N78" s="756"/>
      <c r="O78" s="432"/>
      <c r="P78" s="444"/>
      <c r="Q78" s="434"/>
      <c r="R78" s="186"/>
      <c r="S78" s="103"/>
      <c r="T78" s="182" t="str">
        <f t="shared" si="130"/>
        <v/>
      </c>
      <c r="U78" s="193" t="str">
        <f t="shared" si="131"/>
        <v/>
      </c>
      <c r="W78" s="123" t="str">
        <f t="shared" si="132"/>
        <v>0</v>
      </c>
      <c r="X78" s="120" t="str">
        <f>IF(OR(R78="",R78=0),"",ORDER!H98)</f>
        <v/>
      </c>
      <c r="Y78" s="60" t="str">
        <f t="shared" si="133"/>
        <v>..</v>
      </c>
      <c r="AB78" s="31">
        <f t="shared" si="134"/>
        <v>0</v>
      </c>
      <c r="AC78" s="68">
        <f t="shared" si="135"/>
        <v>5</v>
      </c>
      <c r="AI78" s="59" t="str">
        <f t="shared" si="136"/>
        <v>.</v>
      </c>
      <c r="AJ78" s="60" t="e">
        <f>VLOOKUP(AI78,Лист1!$BA:$BA,1,0)</f>
        <v>#N/A</v>
      </c>
      <c r="AK78" s="49" t="e">
        <f t="shared" si="137"/>
        <v>#N/A</v>
      </c>
      <c r="AL78" s="32" t="str">
        <f t="shared" si="138"/>
        <v>0</v>
      </c>
      <c r="AN78" s="59" t="str">
        <f t="shared" si="148"/>
        <v>.</v>
      </c>
      <c r="AO78" s="60" t="e">
        <f>VLOOKUP(AN78,Лист1!$BE:$BE,1,0)</f>
        <v>#N/A</v>
      </c>
      <c r="AP78" s="49" t="e">
        <f t="shared" si="149"/>
        <v>#N/A</v>
      </c>
      <c r="AQ78" s="32" t="str">
        <f t="shared" si="139"/>
        <v>0</v>
      </c>
      <c r="AS78" s="59" t="str">
        <f t="shared" si="151"/>
        <v>.</v>
      </c>
      <c r="AT78" s="60" t="e">
        <f>VLOOKUP(AS78,Лист1!$BI:$BI,1,0)</f>
        <v>#N/A</v>
      </c>
      <c r="AU78" s="49" t="e">
        <f t="shared" si="140"/>
        <v>#N/A</v>
      </c>
      <c r="AV78" s="32" t="str">
        <f t="shared" si="141"/>
        <v>0</v>
      </c>
      <c r="AX78" s="59" t="str">
        <f t="shared" si="142"/>
        <v>.</v>
      </c>
      <c r="AY78" s="60" t="e">
        <f>VLOOKUP(AX78,Лист1!$BM:$BM,1,0)</f>
        <v>#N/A</v>
      </c>
      <c r="AZ78" s="49" t="e">
        <f t="shared" si="143"/>
        <v>#N/A</v>
      </c>
      <c r="BA78" s="32" t="str">
        <f t="shared" si="144"/>
        <v>0</v>
      </c>
      <c r="BC78" s="59" t="str">
        <f t="shared" si="145"/>
        <v>.</v>
      </c>
      <c r="BD78" s="60" t="e">
        <f>VLOOKUP(BC78,Лист1!$BQ:$BQ,1,0)</f>
        <v>#N/A</v>
      </c>
      <c r="BE78" s="49" t="e">
        <f t="shared" si="146"/>
        <v>#N/A</v>
      </c>
      <c r="BF78" s="32" t="str">
        <f t="shared" si="147"/>
        <v>0</v>
      </c>
    </row>
    <row r="79" spans="1:68" x14ac:dyDescent="0.25">
      <c r="A79" s="23" t="str">
        <f>CONCATENATE(C79)</f>
        <v/>
      </c>
      <c r="B79" s="73">
        <v>7</v>
      </c>
      <c r="C79" s="754"/>
      <c r="D79" s="755"/>
      <c r="E79" s="434"/>
      <c r="F79" s="432"/>
      <c r="G79" s="435"/>
      <c r="H79" s="432"/>
      <c r="I79" s="755"/>
      <c r="J79" s="755"/>
      <c r="K79" s="755"/>
      <c r="L79" s="755"/>
      <c r="M79" s="755"/>
      <c r="N79" s="756"/>
      <c r="O79" s="432"/>
      <c r="P79" s="444"/>
      <c r="Q79" s="434"/>
      <c r="R79" s="186"/>
      <c r="S79" s="103"/>
      <c r="T79" s="182" t="str">
        <f t="shared" si="130"/>
        <v/>
      </c>
      <c r="U79" s="193" t="str">
        <f t="shared" si="131"/>
        <v/>
      </c>
      <c r="W79" s="123" t="str">
        <f t="shared" si="132"/>
        <v>0</v>
      </c>
      <c r="X79" s="120" t="str">
        <f>IF(OR(R79="",R79=0),"",ORDER!H99)</f>
        <v/>
      </c>
      <c r="Y79" s="60" t="str">
        <f t="shared" si="133"/>
        <v>..</v>
      </c>
      <c r="AB79" s="31">
        <f t="shared" si="134"/>
        <v>0</v>
      </c>
      <c r="AC79" s="68">
        <f t="shared" si="135"/>
        <v>5</v>
      </c>
      <c r="AI79" s="59" t="str">
        <f t="shared" si="136"/>
        <v>.</v>
      </c>
      <c r="AJ79" s="60" t="e">
        <f>VLOOKUP(AI79,Лист1!$BA:$BA,1,0)</f>
        <v>#N/A</v>
      </c>
      <c r="AK79" s="49" t="e">
        <f t="shared" si="137"/>
        <v>#N/A</v>
      </c>
      <c r="AL79" s="32" t="str">
        <f t="shared" si="138"/>
        <v>0</v>
      </c>
      <c r="AN79" s="59" t="str">
        <f t="shared" si="148"/>
        <v>.</v>
      </c>
      <c r="AO79" s="60" t="e">
        <f>VLOOKUP(AN79,Лист1!$BE:$BE,1,0)</f>
        <v>#N/A</v>
      </c>
      <c r="AP79" s="49" t="e">
        <f t="shared" si="149"/>
        <v>#N/A</v>
      </c>
      <c r="AQ79" s="32" t="str">
        <f t="shared" si="139"/>
        <v>0</v>
      </c>
      <c r="AS79" s="59" t="str">
        <f t="shared" si="151"/>
        <v>.</v>
      </c>
      <c r="AT79" s="60" t="e">
        <f>VLOOKUP(AS79,Лист1!$BI:$BI,1,0)</f>
        <v>#N/A</v>
      </c>
      <c r="AU79" s="49" t="e">
        <f t="shared" si="140"/>
        <v>#N/A</v>
      </c>
      <c r="AV79" s="32" t="str">
        <f t="shared" si="141"/>
        <v>0</v>
      </c>
      <c r="AX79" s="59" t="str">
        <f t="shared" si="142"/>
        <v>.</v>
      </c>
      <c r="AY79" s="60" t="e">
        <f>VLOOKUP(AX79,Лист1!$BM:$BM,1,0)</f>
        <v>#N/A</v>
      </c>
      <c r="AZ79" s="49" t="e">
        <f t="shared" si="143"/>
        <v>#N/A</v>
      </c>
      <c r="BA79" s="32" t="str">
        <f t="shared" si="144"/>
        <v>0</v>
      </c>
      <c r="BC79" s="59" t="str">
        <f t="shared" si="145"/>
        <v>.</v>
      </c>
      <c r="BD79" s="60" t="e">
        <f>VLOOKUP(BC79,Лист1!$BQ:$BQ,1,0)</f>
        <v>#N/A</v>
      </c>
      <c r="BE79" s="49" t="e">
        <f t="shared" si="146"/>
        <v>#N/A</v>
      </c>
      <c r="BF79" s="32" t="str">
        <f t="shared" si="147"/>
        <v>0</v>
      </c>
    </row>
    <row r="80" spans="1:68" x14ac:dyDescent="0.25">
      <c r="A80" s="23" t="str">
        <f t="shared" si="150"/>
        <v/>
      </c>
      <c r="B80" s="73">
        <v>8</v>
      </c>
      <c r="C80" s="771"/>
      <c r="D80" s="768"/>
      <c r="E80" s="434"/>
      <c r="F80" s="432"/>
      <c r="G80" s="435"/>
      <c r="H80" s="432"/>
      <c r="I80" s="755"/>
      <c r="J80" s="755"/>
      <c r="K80" s="755"/>
      <c r="L80" s="755"/>
      <c r="M80" s="755"/>
      <c r="N80" s="756"/>
      <c r="O80" s="432"/>
      <c r="P80" s="444"/>
      <c r="Q80" s="434"/>
      <c r="R80" s="186"/>
      <c r="S80" s="103"/>
      <c r="T80" s="182" t="str">
        <f t="shared" si="130"/>
        <v/>
      </c>
      <c r="U80" s="193" t="str">
        <f t="shared" si="131"/>
        <v/>
      </c>
      <c r="W80" s="123" t="str">
        <f t="shared" si="132"/>
        <v>0</v>
      </c>
      <c r="X80" s="120" t="str">
        <f>IF(OR(R80="",R80=0),"",ORDER!H100)</f>
        <v/>
      </c>
      <c r="Y80" s="60" t="str">
        <f t="shared" si="133"/>
        <v>..</v>
      </c>
      <c r="AB80" s="31">
        <f t="shared" si="134"/>
        <v>0</v>
      </c>
      <c r="AC80" s="68">
        <f t="shared" si="135"/>
        <v>5</v>
      </c>
      <c r="AI80" s="59" t="str">
        <f t="shared" si="136"/>
        <v>.</v>
      </c>
      <c r="AJ80" s="60" t="e">
        <f>VLOOKUP(AI80,Лист1!$BA:$BA,1,0)</f>
        <v>#N/A</v>
      </c>
      <c r="AK80" s="49" t="e">
        <f t="shared" si="137"/>
        <v>#N/A</v>
      </c>
      <c r="AL80" s="32" t="str">
        <f t="shared" si="138"/>
        <v>0</v>
      </c>
      <c r="AN80" s="59" t="str">
        <f t="shared" si="148"/>
        <v>.</v>
      </c>
      <c r="AO80" s="60" t="e">
        <f>VLOOKUP(AN80,Лист1!$BE:$BE,1,0)</f>
        <v>#N/A</v>
      </c>
      <c r="AP80" s="49" t="e">
        <f t="shared" si="149"/>
        <v>#N/A</v>
      </c>
      <c r="AQ80" s="32" t="str">
        <f t="shared" si="139"/>
        <v>0</v>
      </c>
      <c r="AS80" s="59" t="str">
        <f t="shared" si="151"/>
        <v>.</v>
      </c>
      <c r="AT80" s="60" t="e">
        <f>VLOOKUP(AS80,Лист1!$BI:$BI,1,0)</f>
        <v>#N/A</v>
      </c>
      <c r="AU80" s="49" t="e">
        <f t="shared" si="140"/>
        <v>#N/A</v>
      </c>
      <c r="AV80" s="32" t="str">
        <f t="shared" si="141"/>
        <v>0</v>
      </c>
      <c r="AX80" s="59" t="str">
        <f t="shared" si="142"/>
        <v>.</v>
      </c>
      <c r="AY80" s="60" t="e">
        <f>VLOOKUP(AX80,Лист1!$BM:$BM,1,0)</f>
        <v>#N/A</v>
      </c>
      <c r="AZ80" s="49" t="e">
        <f t="shared" si="143"/>
        <v>#N/A</v>
      </c>
      <c r="BA80" s="32" t="str">
        <f t="shared" si="144"/>
        <v>0</v>
      </c>
      <c r="BC80" s="59" t="str">
        <f t="shared" si="145"/>
        <v>.</v>
      </c>
      <c r="BD80" s="60" t="e">
        <f>VLOOKUP(BC80,Лист1!$BQ:$BQ,1,0)</f>
        <v>#N/A</v>
      </c>
      <c r="BE80" s="49" t="e">
        <f t="shared" si="146"/>
        <v>#N/A</v>
      </c>
      <c r="BF80" s="32" t="str">
        <f t="shared" si="147"/>
        <v>0</v>
      </c>
    </row>
    <row r="81" spans="1:58" x14ac:dyDescent="0.25">
      <c r="A81" s="23" t="str">
        <f t="shared" si="150"/>
        <v/>
      </c>
      <c r="B81" s="73">
        <v>9</v>
      </c>
      <c r="C81" s="771"/>
      <c r="D81" s="768"/>
      <c r="E81" s="420"/>
      <c r="F81" s="418"/>
      <c r="G81" s="421"/>
      <c r="H81" s="418"/>
      <c r="I81" s="768"/>
      <c r="J81" s="768"/>
      <c r="K81" s="768"/>
      <c r="L81" s="768"/>
      <c r="M81" s="768"/>
      <c r="N81" s="773"/>
      <c r="O81" s="418"/>
      <c r="P81" s="452"/>
      <c r="Q81" s="420"/>
      <c r="R81" s="187"/>
      <c r="S81" s="103"/>
      <c r="T81" s="182" t="str">
        <f t="shared" si="130"/>
        <v/>
      </c>
      <c r="U81" s="193" t="str">
        <f t="shared" si="131"/>
        <v/>
      </c>
      <c r="W81" s="123" t="str">
        <f t="shared" si="132"/>
        <v>0</v>
      </c>
      <c r="X81" s="120" t="str">
        <f>IF(OR(R81="",R81=0),"",ORDER!H101)</f>
        <v/>
      </c>
      <c r="Y81" s="60" t="str">
        <f t="shared" si="133"/>
        <v>..</v>
      </c>
      <c r="AB81" s="31">
        <f t="shared" si="134"/>
        <v>0</v>
      </c>
      <c r="AC81" s="68">
        <f t="shared" si="135"/>
        <v>5</v>
      </c>
      <c r="AI81" s="59" t="str">
        <f t="shared" si="136"/>
        <v>.</v>
      </c>
      <c r="AJ81" s="60" t="e">
        <f>VLOOKUP(AI81,Лист1!$BA:$BA,1,0)</f>
        <v>#N/A</v>
      </c>
      <c r="AK81" s="49" t="e">
        <f t="shared" si="137"/>
        <v>#N/A</v>
      </c>
      <c r="AL81" s="32" t="str">
        <f t="shared" si="138"/>
        <v>0</v>
      </c>
      <c r="AN81" s="59" t="str">
        <f t="shared" si="148"/>
        <v>.</v>
      </c>
      <c r="AO81" s="60" t="e">
        <f>VLOOKUP(AN81,Лист1!$BE:$BE,1,0)</f>
        <v>#N/A</v>
      </c>
      <c r="AP81" s="49" t="e">
        <f t="shared" si="149"/>
        <v>#N/A</v>
      </c>
      <c r="AQ81" s="32" t="str">
        <f t="shared" si="139"/>
        <v>0</v>
      </c>
      <c r="AS81" s="59" t="str">
        <f t="shared" si="151"/>
        <v>.</v>
      </c>
      <c r="AT81" s="60" t="e">
        <f>VLOOKUP(AS81,Лист1!$BI:$BI,1,0)</f>
        <v>#N/A</v>
      </c>
      <c r="AU81" s="49" t="e">
        <f t="shared" si="140"/>
        <v>#N/A</v>
      </c>
      <c r="AV81" s="32" t="str">
        <f t="shared" si="141"/>
        <v>0</v>
      </c>
      <c r="AX81" s="59" t="str">
        <f t="shared" si="142"/>
        <v>.</v>
      </c>
      <c r="AY81" s="60" t="e">
        <f>VLOOKUP(AX81,Лист1!$BM:$BM,1,0)</f>
        <v>#N/A</v>
      </c>
      <c r="AZ81" s="49" t="e">
        <f t="shared" si="143"/>
        <v>#N/A</v>
      </c>
      <c r="BA81" s="32" t="str">
        <f t="shared" si="144"/>
        <v>0</v>
      </c>
      <c r="BC81" s="59" t="str">
        <f t="shared" si="145"/>
        <v>.</v>
      </c>
      <c r="BD81" s="60" t="e">
        <f>VLOOKUP(BC81,Лист1!$BQ:$BQ,1,0)</f>
        <v>#N/A</v>
      </c>
      <c r="BE81" s="49" t="e">
        <f t="shared" si="146"/>
        <v>#N/A</v>
      </c>
      <c r="BF81" s="32" t="str">
        <f t="shared" si="147"/>
        <v>0</v>
      </c>
    </row>
    <row r="82" spans="1:58" x14ac:dyDescent="0.25">
      <c r="A82" s="23" t="str">
        <f t="shared" si="150"/>
        <v/>
      </c>
      <c r="B82" s="73">
        <v>10</v>
      </c>
      <c r="C82" s="766"/>
      <c r="D82" s="767"/>
      <c r="E82" s="427"/>
      <c r="F82" s="425"/>
      <c r="G82" s="428"/>
      <c r="H82" s="425"/>
      <c r="I82" s="767"/>
      <c r="J82" s="767"/>
      <c r="K82" s="767"/>
      <c r="L82" s="767"/>
      <c r="M82" s="767"/>
      <c r="N82" s="775"/>
      <c r="O82" s="429"/>
      <c r="P82" s="446"/>
      <c r="Q82" s="447"/>
      <c r="R82" s="188"/>
      <c r="S82" s="173"/>
      <c r="T82" s="182" t="str">
        <f t="shared" si="130"/>
        <v/>
      </c>
      <c r="U82" s="194" t="str">
        <f t="shared" si="131"/>
        <v/>
      </c>
      <c r="W82" s="123" t="str">
        <f t="shared" si="132"/>
        <v>0</v>
      </c>
      <c r="X82" s="120" t="str">
        <f>IF(OR(R82="",R82=0),"",ORDER!H102)</f>
        <v/>
      </c>
      <c r="Y82" s="60" t="str">
        <f t="shared" si="133"/>
        <v>..</v>
      </c>
      <c r="AB82" s="31">
        <f t="shared" si="134"/>
        <v>0</v>
      </c>
      <c r="AC82" s="68">
        <f t="shared" si="135"/>
        <v>5</v>
      </c>
      <c r="AI82" s="59" t="str">
        <f t="shared" si="136"/>
        <v>.</v>
      </c>
      <c r="AJ82" s="60" t="e">
        <f>VLOOKUP(AI82,Лист1!$BA:$BA,1,0)</f>
        <v>#N/A</v>
      </c>
      <c r="AK82" s="49" t="e">
        <f t="shared" si="137"/>
        <v>#N/A</v>
      </c>
      <c r="AL82" s="32" t="str">
        <f t="shared" si="138"/>
        <v>0</v>
      </c>
      <c r="AN82" s="59" t="str">
        <f t="shared" si="148"/>
        <v>.</v>
      </c>
      <c r="AO82" s="60" t="e">
        <f>VLOOKUP(AN82,Лист1!$BE:$BE,1,0)</f>
        <v>#N/A</v>
      </c>
      <c r="AP82" s="49" t="e">
        <f t="shared" si="149"/>
        <v>#N/A</v>
      </c>
      <c r="AQ82" s="32" t="str">
        <f t="shared" si="139"/>
        <v>0</v>
      </c>
      <c r="AS82" s="59" t="str">
        <f t="shared" si="151"/>
        <v>.</v>
      </c>
      <c r="AT82" s="60" t="e">
        <f>VLOOKUP(AS82,Лист1!$BI:$BI,1,0)</f>
        <v>#N/A</v>
      </c>
      <c r="AU82" s="49" t="e">
        <f t="shared" si="140"/>
        <v>#N/A</v>
      </c>
      <c r="AV82" s="32" t="str">
        <f t="shared" si="141"/>
        <v>0</v>
      </c>
      <c r="AX82" s="59" t="str">
        <f t="shared" si="142"/>
        <v>.</v>
      </c>
      <c r="AY82" s="60" t="e">
        <f>VLOOKUP(AX82,Лист1!$BM:$BM,1,0)</f>
        <v>#N/A</v>
      </c>
      <c r="AZ82" s="49" t="e">
        <f t="shared" si="143"/>
        <v>#N/A</v>
      </c>
      <c r="BA82" s="32" t="str">
        <f t="shared" si="144"/>
        <v>0</v>
      </c>
      <c r="BC82" s="59" t="str">
        <f t="shared" si="145"/>
        <v>.</v>
      </c>
      <c r="BD82" s="60" t="e">
        <f>VLOOKUP(BC82,Лист1!$BQ:$BQ,1,0)</f>
        <v>#N/A</v>
      </c>
      <c r="BE82" s="49" t="e">
        <f t="shared" si="146"/>
        <v>#N/A</v>
      </c>
      <c r="BF82" s="32" t="str">
        <f t="shared" si="147"/>
        <v>0</v>
      </c>
    </row>
    <row r="83" spans="1:58" ht="12.75" customHeight="1" x14ac:dyDescent="0.25">
      <c r="A83" s="23"/>
      <c r="B83" s="67" t="s">
        <v>159</v>
      </c>
      <c r="C83" s="776" t="s">
        <v>863</v>
      </c>
      <c r="D83" s="777"/>
      <c r="E83" s="777"/>
      <c r="F83" s="777"/>
      <c r="G83" s="777"/>
      <c r="H83" s="34"/>
      <c r="I83" s="34"/>
      <c r="J83" s="34"/>
      <c r="K83" s="34"/>
      <c r="L83" s="34"/>
      <c r="M83" s="34"/>
      <c r="N83" s="34"/>
      <c r="O83" s="228"/>
      <c r="P83" s="229"/>
      <c r="Q83" s="229"/>
      <c r="R83" s="34"/>
      <c r="S83" s="34"/>
      <c r="T83" s="101"/>
      <c r="U83" s="33"/>
      <c r="W83" s="124"/>
      <c r="X83" s="121"/>
      <c r="AD83" s="781" t="str">
        <f t="shared" ref="AD83:AD93" si="152">C83</f>
        <v>ІНШІ АКСЕСУАРИ</v>
      </c>
      <c r="AE83" s="781"/>
      <c r="AF83" s="781"/>
      <c r="AG83" s="781"/>
      <c r="AX83" s="59"/>
      <c r="AY83" s="60"/>
      <c r="AZ83" s="49"/>
      <c r="BA83" s="32"/>
      <c r="BC83" s="59"/>
      <c r="BD83" s="60"/>
      <c r="BE83" s="49"/>
      <c r="BF83" s="32"/>
    </row>
    <row r="84" spans="1:58" x14ac:dyDescent="0.25">
      <c r="A84" s="23" t="str">
        <f t="shared" si="150"/>
        <v/>
      </c>
      <c r="B84" s="171">
        <v>1</v>
      </c>
      <c r="C84" s="754"/>
      <c r="D84" s="755"/>
      <c r="E84" s="755"/>
      <c r="F84" s="755"/>
      <c r="G84" s="755"/>
      <c r="H84" s="755"/>
      <c r="I84" s="755"/>
      <c r="J84" s="755"/>
      <c r="K84" s="755"/>
      <c r="L84" s="755"/>
      <c r="M84" s="755"/>
      <c r="N84" s="755"/>
      <c r="O84" s="432"/>
      <c r="P84" s="444"/>
      <c r="Q84" s="444"/>
      <c r="R84" s="186"/>
      <c r="S84" s="172"/>
      <c r="T84" s="184" t="str">
        <f t="shared" ref="T84:T93" si="153">IF(OR(W84="",W84="0"),"",W84)</f>
        <v/>
      </c>
      <c r="U84" s="190" t="str">
        <f t="shared" ref="U84:U93" si="154">IF(R84="","",IF(NOT(AC84=0),"Ошибка в строке",""))</f>
        <v/>
      </c>
      <c r="W84" s="123" t="str">
        <f t="shared" ref="W84:W93" si="155">IF(OR(ISNA(X84),NOT(AC84=0)),"0",X84)</f>
        <v>0</v>
      </c>
      <c r="X84" s="120" t="str">
        <f>IF(OR(R84="",R84=0),"",ORDER!H103)</f>
        <v/>
      </c>
      <c r="Y84" s="60" t="str">
        <f t="shared" ref="Y84:Y93" si="156">CONCATENATE(C84,".",E84,".",F84)</f>
        <v>..</v>
      </c>
      <c r="AB84" s="31">
        <f t="shared" ref="AB84:AB93" si="157">AG84+AL84+AQ84+AV84+BA84+BF84+BK84+BP84+BU84+BZ84+CE84</f>
        <v>0</v>
      </c>
      <c r="AC84" s="68">
        <f t="shared" ref="AC84:AC93" si="158">1-AB84</f>
        <v>1</v>
      </c>
      <c r="AD84" s="59">
        <f t="shared" si="152"/>
        <v>0</v>
      </c>
      <c r="AE84" s="60" t="e">
        <f>VLOOKUP(AD84,Лист1!$C:$C,1,0)</f>
        <v>#N/A</v>
      </c>
      <c r="AF84" s="49" t="e">
        <f t="shared" ref="AF84:AF93" si="159">IF(AD84=AE84,1,0)</f>
        <v>#N/A</v>
      </c>
      <c r="AG84" s="32" t="str">
        <f t="shared" ref="AG84:AG93" si="160">IF(ISNA(AF84),"0",AF84)</f>
        <v>0</v>
      </c>
    </row>
    <row r="85" spans="1:58" x14ac:dyDescent="0.25">
      <c r="A85" s="23" t="str">
        <f>CONCATENATE(C85)</f>
        <v/>
      </c>
      <c r="B85" s="73">
        <v>2</v>
      </c>
      <c r="C85" s="771"/>
      <c r="D85" s="768"/>
      <c r="E85" s="768"/>
      <c r="F85" s="768"/>
      <c r="G85" s="768"/>
      <c r="H85" s="768"/>
      <c r="I85" s="768"/>
      <c r="J85" s="768"/>
      <c r="K85" s="768"/>
      <c r="L85" s="768"/>
      <c r="M85" s="768"/>
      <c r="N85" s="768"/>
      <c r="O85" s="418"/>
      <c r="P85" s="452"/>
      <c r="Q85" s="452"/>
      <c r="R85" s="187"/>
      <c r="S85" s="103"/>
      <c r="T85" s="185" t="str">
        <f t="shared" si="153"/>
        <v/>
      </c>
      <c r="U85" s="189" t="str">
        <f t="shared" si="154"/>
        <v/>
      </c>
      <c r="W85" s="123" t="str">
        <f t="shared" si="155"/>
        <v>0</v>
      </c>
      <c r="X85" s="120" t="str">
        <f>IF(OR(R85="",R85=0),"",ORDER!H104)</f>
        <v/>
      </c>
      <c r="Y85" s="60" t="str">
        <f t="shared" si="156"/>
        <v>..</v>
      </c>
      <c r="AB85" s="31">
        <f t="shared" si="157"/>
        <v>0</v>
      </c>
      <c r="AC85" s="68">
        <f t="shared" si="158"/>
        <v>1</v>
      </c>
      <c r="AD85" s="59">
        <f t="shared" si="152"/>
        <v>0</v>
      </c>
      <c r="AE85" s="60" t="e">
        <f>VLOOKUP(AD85,Лист1!$C:$C,1,0)</f>
        <v>#N/A</v>
      </c>
      <c r="AF85" s="49" t="e">
        <f t="shared" si="159"/>
        <v>#N/A</v>
      </c>
      <c r="AG85" s="32" t="str">
        <f t="shared" si="160"/>
        <v>0</v>
      </c>
    </row>
    <row r="86" spans="1:58" x14ac:dyDescent="0.25">
      <c r="A86" s="23" t="str">
        <f>CONCATENATE(C86)</f>
        <v/>
      </c>
      <c r="B86" s="73">
        <v>3</v>
      </c>
      <c r="C86" s="771"/>
      <c r="D86" s="768"/>
      <c r="E86" s="768"/>
      <c r="F86" s="768"/>
      <c r="G86" s="768"/>
      <c r="H86" s="768"/>
      <c r="I86" s="768"/>
      <c r="J86" s="768"/>
      <c r="K86" s="768"/>
      <c r="L86" s="768"/>
      <c r="M86" s="768"/>
      <c r="N86" s="768"/>
      <c r="O86" s="418"/>
      <c r="P86" s="452"/>
      <c r="Q86" s="452"/>
      <c r="R86" s="187"/>
      <c r="S86" s="103"/>
      <c r="T86" s="185" t="str">
        <f t="shared" si="153"/>
        <v/>
      </c>
      <c r="U86" s="189" t="str">
        <f t="shared" si="154"/>
        <v/>
      </c>
      <c r="W86" s="123" t="str">
        <f t="shared" si="155"/>
        <v>0</v>
      </c>
      <c r="X86" s="120" t="str">
        <f>IF(OR(R86="",R86=0),"",ORDER!H105)</f>
        <v/>
      </c>
      <c r="Y86" s="60" t="str">
        <f t="shared" si="156"/>
        <v>..</v>
      </c>
      <c r="AB86" s="31">
        <f t="shared" si="157"/>
        <v>0</v>
      </c>
      <c r="AC86" s="68">
        <f t="shared" si="158"/>
        <v>1</v>
      </c>
      <c r="AD86" s="59">
        <f t="shared" si="152"/>
        <v>0</v>
      </c>
      <c r="AE86" s="60" t="e">
        <f>VLOOKUP(AD86,Лист1!$C:$C,1,0)</f>
        <v>#N/A</v>
      </c>
      <c r="AF86" s="49" t="e">
        <f t="shared" si="159"/>
        <v>#N/A</v>
      </c>
      <c r="AG86" s="32" t="str">
        <f t="shared" si="160"/>
        <v>0</v>
      </c>
    </row>
    <row r="87" spans="1:58" x14ac:dyDescent="0.25">
      <c r="A87" s="23" t="str">
        <f>CONCATENATE(C87)</f>
        <v/>
      </c>
      <c r="B87" s="73">
        <v>4</v>
      </c>
      <c r="C87" s="771"/>
      <c r="D87" s="768"/>
      <c r="E87" s="768"/>
      <c r="F87" s="768"/>
      <c r="G87" s="768"/>
      <c r="H87" s="768"/>
      <c r="I87" s="768"/>
      <c r="J87" s="768"/>
      <c r="K87" s="768"/>
      <c r="L87" s="768"/>
      <c r="M87" s="768"/>
      <c r="N87" s="768"/>
      <c r="O87" s="418"/>
      <c r="P87" s="452"/>
      <c r="Q87" s="452"/>
      <c r="R87" s="187"/>
      <c r="S87" s="103"/>
      <c r="T87" s="185" t="str">
        <f t="shared" si="153"/>
        <v/>
      </c>
      <c r="U87" s="189" t="str">
        <f t="shared" si="154"/>
        <v/>
      </c>
      <c r="W87" s="123" t="str">
        <f t="shared" si="155"/>
        <v>0</v>
      </c>
      <c r="X87" s="120" t="str">
        <f>IF(OR(R87="",R87=0),"",ORDER!H106)</f>
        <v/>
      </c>
      <c r="Y87" s="60" t="str">
        <f t="shared" si="156"/>
        <v>..</v>
      </c>
      <c r="AB87" s="31">
        <f t="shared" si="157"/>
        <v>0</v>
      </c>
      <c r="AC87" s="68">
        <f t="shared" si="158"/>
        <v>1</v>
      </c>
      <c r="AD87" s="59">
        <f t="shared" si="152"/>
        <v>0</v>
      </c>
      <c r="AE87" s="60" t="e">
        <f>VLOOKUP(AD87,Лист1!$C:$C,1,0)</f>
        <v>#N/A</v>
      </c>
      <c r="AF87" s="49" t="e">
        <f t="shared" si="159"/>
        <v>#N/A</v>
      </c>
      <c r="AG87" s="32" t="str">
        <f t="shared" si="160"/>
        <v>0</v>
      </c>
    </row>
    <row r="88" spans="1:58" x14ac:dyDescent="0.25">
      <c r="A88" s="23" t="str">
        <f>CONCATENATE(C88)</f>
        <v/>
      </c>
      <c r="B88" s="73">
        <v>5</v>
      </c>
      <c r="C88" s="771"/>
      <c r="D88" s="768"/>
      <c r="E88" s="768"/>
      <c r="F88" s="768"/>
      <c r="G88" s="768"/>
      <c r="H88" s="768"/>
      <c r="I88" s="768"/>
      <c r="J88" s="768"/>
      <c r="K88" s="768"/>
      <c r="L88" s="768"/>
      <c r="M88" s="768"/>
      <c r="N88" s="768"/>
      <c r="O88" s="418"/>
      <c r="P88" s="452"/>
      <c r="Q88" s="452"/>
      <c r="R88" s="187"/>
      <c r="S88" s="103"/>
      <c r="T88" s="185" t="str">
        <f t="shared" si="153"/>
        <v/>
      </c>
      <c r="U88" s="189" t="str">
        <f t="shared" si="154"/>
        <v/>
      </c>
      <c r="W88" s="123" t="str">
        <f t="shared" si="155"/>
        <v>0</v>
      </c>
      <c r="X88" s="120" t="str">
        <f>IF(OR(R88="",R88=0),"",ORDER!H107)</f>
        <v/>
      </c>
      <c r="Y88" s="60" t="str">
        <f t="shared" si="156"/>
        <v>..</v>
      </c>
      <c r="AB88" s="31">
        <f t="shared" si="157"/>
        <v>0</v>
      </c>
      <c r="AC88" s="68">
        <f t="shared" si="158"/>
        <v>1</v>
      </c>
      <c r="AD88" s="59">
        <f t="shared" si="152"/>
        <v>0</v>
      </c>
      <c r="AE88" s="60" t="e">
        <f>VLOOKUP(AD88,Лист1!$C:$C,1,0)</f>
        <v>#N/A</v>
      </c>
      <c r="AF88" s="49" t="e">
        <f t="shared" si="159"/>
        <v>#N/A</v>
      </c>
      <c r="AG88" s="32" t="str">
        <f t="shared" si="160"/>
        <v>0</v>
      </c>
    </row>
    <row r="89" spans="1:58" x14ac:dyDescent="0.25">
      <c r="A89" s="23" t="str">
        <f t="shared" si="150"/>
        <v/>
      </c>
      <c r="B89" s="73">
        <v>6</v>
      </c>
      <c r="C89" s="771"/>
      <c r="D89" s="768"/>
      <c r="E89" s="768"/>
      <c r="F89" s="768"/>
      <c r="G89" s="768"/>
      <c r="H89" s="768"/>
      <c r="I89" s="768"/>
      <c r="J89" s="768"/>
      <c r="K89" s="768"/>
      <c r="L89" s="768"/>
      <c r="M89" s="768"/>
      <c r="N89" s="768"/>
      <c r="O89" s="418"/>
      <c r="P89" s="452"/>
      <c r="Q89" s="452"/>
      <c r="R89" s="187"/>
      <c r="S89" s="103"/>
      <c r="T89" s="185" t="str">
        <f t="shared" si="153"/>
        <v/>
      </c>
      <c r="U89" s="189" t="str">
        <f t="shared" si="154"/>
        <v/>
      </c>
      <c r="W89" s="123" t="str">
        <f t="shared" si="155"/>
        <v>0</v>
      </c>
      <c r="X89" s="120" t="str">
        <f>IF(OR(R89="",R89=0),"",ORDER!H108)</f>
        <v/>
      </c>
      <c r="Y89" s="60" t="str">
        <f t="shared" si="156"/>
        <v>..</v>
      </c>
      <c r="AB89" s="31">
        <f t="shared" si="157"/>
        <v>0</v>
      </c>
      <c r="AC89" s="68">
        <f t="shared" si="158"/>
        <v>1</v>
      </c>
      <c r="AD89" s="59">
        <f t="shared" si="152"/>
        <v>0</v>
      </c>
      <c r="AE89" s="60" t="e">
        <f>VLOOKUP(AD89,Лист1!$C:$C,1,0)</f>
        <v>#N/A</v>
      </c>
      <c r="AF89" s="49" t="e">
        <f t="shared" si="159"/>
        <v>#N/A</v>
      </c>
      <c r="AG89" s="32" t="str">
        <f t="shared" si="160"/>
        <v>0</v>
      </c>
    </row>
    <row r="90" spans="1:58" x14ac:dyDescent="0.25">
      <c r="A90" s="23" t="str">
        <f>CONCATENATE(C90)</f>
        <v/>
      </c>
      <c r="B90" s="73">
        <v>7</v>
      </c>
      <c r="C90" s="771"/>
      <c r="D90" s="768"/>
      <c r="E90" s="768"/>
      <c r="F90" s="768"/>
      <c r="G90" s="768"/>
      <c r="H90" s="768"/>
      <c r="I90" s="768"/>
      <c r="J90" s="768"/>
      <c r="K90" s="768"/>
      <c r="L90" s="768"/>
      <c r="M90" s="768"/>
      <c r="N90" s="768"/>
      <c r="O90" s="418"/>
      <c r="P90" s="452"/>
      <c r="Q90" s="452"/>
      <c r="R90" s="187"/>
      <c r="S90" s="103"/>
      <c r="T90" s="185" t="str">
        <f t="shared" si="153"/>
        <v/>
      </c>
      <c r="U90" s="189" t="str">
        <f t="shared" si="154"/>
        <v/>
      </c>
      <c r="W90" s="123" t="str">
        <f t="shared" si="155"/>
        <v>0</v>
      </c>
      <c r="X90" s="120" t="str">
        <f>IF(OR(R90="",R90=0),"",ORDER!H109)</f>
        <v/>
      </c>
      <c r="Y90" s="60" t="str">
        <f t="shared" si="156"/>
        <v>..</v>
      </c>
      <c r="AB90" s="31">
        <f t="shared" si="157"/>
        <v>0</v>
      </c>
      <c r="AC90" s="68">
        <f t="shared" si="158"/>
        <v>1</v>
      </c>
      <c r="AD90" s="59">
        <f t="shared" si="152"/>
        <v>0</v>
      </c>
      <c r="AE90" s="60" t="e">
        <f>VLOOKUP(AD90,Лист1!$C:$C,1,0)</f>
        <v>#N/A</v>
      </c>
      <c r="AF90" s="49" t="e">
        <f t="shared" si="159"/>
        <v>#N/A</v>
      </c>
      <c r="AG90" s="32" t="str">
        <f t="shared" si="160"/>
        <v>0</v>
      </c>
    </row>
    <row r="91" spans="1:58" x14ac:dyDescent="0.25">
      <c r="A91" s="23" t="str">
        <f>CONCATENATE(C91)</f>
        <v/>
      </c>
      <c r="B91" s="73">
        <v>8</v>
      </c>
      <c r="C91" s="771"/>
      <c r="D91" s="768"/>
      <c r="E91" s="768"/>
      <c r="F91" s="768"/>
      <c r="G91" s="768"/>
      <c r="H91" s="768"/>
      <c r="I91" s="768"/>
      <c r="J91" s="768"/>
      <c r="K91" s="768"/>
      <c r="L91" s="768"/>
      <c r="M91" s="768"/>
      <c r="N91" s="768"/>
      <c r="O91" s="418"/>
      <c r="P91" s="452"/>
      <c r="Q91" s="452"/>
      <c r="R91" s="187"/>
      <c r="S91" s="103"/>
      <c r="T91" s="185" t="str">
        <f t="shared" si="153"/>
        <v/>
      </c>
      <c r="U91" s="189" t="str">
        <f t="shared" si="154"/>
        <v/>
      </c>
      <c r="W91" s="123" t="str">
        <f t="shared" si="155"/>
        <v>0</v>
      </c>
      <c r="X91" s="120" t="str">
        <f>IF(OR(R91="",R91=0),"",ORDER!H110)</f>
        <v/>
      </c>
      <c r="Y91" s="60" t="str">
        <f t="shared" si="156"/>
        <v>..</v>
      </c>
      <c r="AB91" s="31">
        <f t="shared" si="157"/>
        <v>0</v>
      </c>
      <c r="AC91" s="68">
        <f t="shared" si="158"/>
        <v>1</v>
      </c>
      <c r="AD91" s="59">
        <f t="shared" si="152"/>
        <v>0</v>
      </c>
      <c r="AE91" s="60" t="e">
        <f>VLOOKUP(AD91,Лист1!$C:$C,1,0)</f>
        <v>#N/A</v>
      </c>
      <c r="AF91" s="49" t="e">
        <f t="shared" si="159"/>
        <v>#N/A</v>
      </c>
      <c r="AG91" s="32" t="str">
        <f t="shared" si="160"/>
        <v>0</v>
      </c>
    </row>
    <row r="92" spans="1:58" x14ac:dyDescent="0.25">
      <c r="A92" s="23" t="str">
        <f t="shared" si="150"/>
        <v/>
      </c>
      <c r="B92" s="73">
        <v>9</v>
      </c>
      <c r="C92" s="771"/>
      <c r="D92" s="768"/>
      <c r="E92" s="768"/>
      <c r="F92" s="768"/>
      <c r="G92" s="768"/>
      <c r="H92" s="768"/>
      <c r="I92" s="768"/>
      <c r="J92" s="768"/>
      <c r="K92" s="768"/>
      <c r="L92" s="768"/>
      <c r="M92" s="768"/>
      <c r="N92" s="768"/>
      <c r="O92" s="418"/>
      <c r="P92" s="452"/>
      <c r="Q92" s="452"/>
      <c r="R92" s="187"/>
      <c r="S92" s="103"/>
      <c r="T92" s="185" t="str">
        <f t="shared" si="153"/>
        <v/>
      </c>
      <c r="U92" s="189" t="str">
        <f t="shared" si="154"/>
        <v/>
      </c>
      <c r="W92" s="123" t="str">
        <f t="shared" si="155"/>
        <v>0</v>
      </c>
      <c r="X92" s="120" t="str">
        <f>IF(OR(R92="",R92=0),"",ORDER!H111)</f>
        <v/>
      </c>
      <c r="Y92" s="60" t="str">
        <f t="shared" si="156"/>
        <v>..</v>
      </c>
      <c r="AB92" s="31">
        <f t="shared" si="157"/>
        <v>0</v>
      </c>
      <c r="AC92" s="68">
        <f t="shared" si="158"/>
        <v>1</v>
      </c>
      <c r="AD92" s="59">
        <f t="shared" si="152"/>
        <v>0</v>
      </c>
      <c r="AE92" s="60" t="e">
        <f>VLOOKUP(AD92,Лист1!$C:$C,1,0)</f>
        <v>#N/A</v>
      </c>
      <c r="AF92" s="49" t="e">
        <f t="shared" si="159"/>
        <v>#N/A</v>
      </c>
      <c r="AG92" s="32" t="str">
        <f t="shared" si="160"/>
        <v>0</v>
      </c>
    </row>
    <row r="93" spans="1:58" x14ac:dyDescent="0.25">
      <c r="A93" s="23" t="str">
        <f t="shared" si="150"/>
        <v/>
      </c>
      <c r="B93" s="73">
        <v>10</v>
      </c>
      <c r="C93" s="766"/>
      <c r="D93" s="767"/>
      <c r="E93" s="767"/>
      <c r="F93" s="767"/>
      <c r="G93" s="767"/>
      <c r="H93" s="767"/>
      <c r="I93" s="767"/>
      <c r="J93" s="767"/>
      <c r="K93" s="767"/>
      <c r="L93" s="767"/>
      <c r="M93" s="767"/>
      <c r="N93" s="767"/>
      <c r="O93" s="429"/>
      <c r="P93" s="446"/>
      <c r="Q93" s="446"/>
      <c r="R93" s="188"/>
      <c r="S93" s="173"/>
      <c r="T93" s="183" t="str">
        <f t="shared" si="153"/>
        <v/>
      </c>
      <c r="U93" s="191" t="str">
        <f t="shared" si="154"/>
        <v/>
      </c>
      <c r="W93" s="123" t="str">
        <f t="shared" si="155"/>
        <v>0</v>
      </c>
      <c r="X93" s="120" t="str">
        <f>IF(OR(R93="",R93=0),"",ORDER!H112)</f>
        <v/>
      </c>
      <c r="Y93" s="60" t="str">
        <f t="shared" si="156"/>
        <v>..</v>
      </c>
      <c r="AB93" s="31">
        <f t="shared" si="157"/>
        <v>0</v>
      </c>
      <c r="AC93" s="68">
        <f t="shared" si="158"/>
        <v>1</v>
      </c>
      <c r="AD93" s="59">
        <f t="shared" si="152"/>
        <v>0</v>
      </c>
      <c r="AE93" s="60" t="e">
        <f>VLOOKUP(AD93,Лист1!$C:$C,1,0)</f>
        <v>#N/A</v>
      </c>
      <c r="AF93" s="49" t="e">
        <f t="shared" si="159"/>
        <v>#N/A</v>
      </c>
      <c r="AG93" s="32" t="str">
        <f t="shared" si="160"/>
        <v>0</v>
      </c>
    </row>
    <row r="94" spans="1:58" x14ac:dyDescent="0.2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W94" s="124"/>
      <c r="X94" s="120"/>
    </row>
    <row r="95" spans="1:58" x14ac:dyDescent="0.25">
      <c r="B95" s="4" t="s">
        <v>1182</v>
      </c>
      <c r="D95" s="774"/>
      <c r="E95" s="774"/>
      <c r="F95" s="76"/>
      <c r="G95" s="12"/>
      <c r="J95" s="778"/>
      <c r="K95" s="778"/>
      <c r="L95" s="79"/>
      <c r="M95" s="79"/>
      <c r="N95" s="80"/>
      <c r="O95" s="195"/>
      <c r="P95" s="195"/>
      <c r="Q95" s="195"/>
      <c r="R95" s="13" t="s">
        <v>35</v>
      </c>
      <c r="W95" s="124"/>
      <c r="X95" s="122">
        <f>SUM(W10:W96)</f>
        <v>0</v>
      </c>
    </row>
    <row r="96" spans="1:58" x14ac:dyDescent="0.25">
      <c r="B96" s="4"/>
      <c r="D96" s="772" t="s">
        <v>138</v>
      </c>
      <c r="E96" s="772"/>
      <c r="F96" s="772"/>
      <c r="G96" s="14"/>
      <c r="J96" s="772" t="s">
        <v>1183</v>
      </c>
      <c r="K96" s="772"/>
      <c r="L96" s="772"/>
      <c r="M96" s="772"/>
      <c r="N96" s="772"/>
      <c r="O96" s="196"/>
      <c r="P96" s="196"/>
      <c r="Q96" s="196"/>
    </row>
    <row r="97" spans="2:21" ht="13.8" thickBot="1" x14ac:dyDescent="0.3">
      <c r="B97" s="15"/>
      <c r="C97" s="5"/>
      <c r="D97" s="5"/>
      <c r="E97" s="5"/>
      <c r="F97" s="5"/>
      <c r="G97" s="5"/>
      <c r="H97" s="16"/>
      <c r="I97" s="16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2:21" ht="5.0999999999999996" customHeight="1" x14ac:dyDescent="0.25">
      <c r="B98" s="17"/>
      <c r="C98" s="7"/>
      <c r="D98" s="7"/>
      <c r="E98" s="7"/>
      <c r="F98" s="7"/>
      <c r="G98" s="7"/>
      <c r="H98" s="18"/>
      <c r="I98" s="18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spans="2:21" x14ac:dyDescent="0.25">
      <c r="C99" s="4"/>
      <c r="E99" s="4"/>
      <c r="F99" s="4"/>
      <c r="G99" s="4"/>
      <c r="H99" s="4"/>
      <c r="I99" s="4"/>
      <c r="K99" s="4"/>
      <c r="L99" s="4"/>
      <c r="M99" s="4"/>
      <c r="N99" s="4"/>
      <c r="O99" s="4"/>
      <c r="P99" s="4"/>
      <c r="Q99" s="4"/>
    </row>
  </sheetData>
  <sheetProtection algorithmName="SHA-512" hashValue="VIpCLbCxl4Hf+oEdajeDcFwtqTjCOEkNpsPNzInjG/2gaOcHgeONIths6R6c0+RIpy8nlpqRwFQ7uvlmYGvjQg==" saltValue="iHwzLEfnp/lFUR8DG4IObw==" spinCount="100000" sheet="1" objects="1" scenarios="1"/>
  <mergeCells count="142">
    <mergeCell ref="B2:D2"/>
    <mergeCell ref="G2:J2"/>
    <mergeCell ref="G4:H4"/>
    <mergeCell ref="G6:H6"/>
    <mergeCell ref="G5:H5"/>
    <mergeCell ref="CB28:CE28"/>
    <mergeCell ref="T4:U4"/>
    <mergeCell ref="I6:K6"/>
    <mergeCell ref="T5:U5"/>
    <mergeCell ref="L6:M6"/>
    <mergeCell ref="AI28:AL28"/>
    <mergeCell ref="AD10:AG10"/>
    <mergeCell ref="AN10:AQ10"/>
    <mergeCell ref="AS10:AV10"/>
    <mergeCell ref="AX10:BA10"/>
    <mergeCell ref="BW28:BZ28"/>
    <mergeCell ref="BC28:BF28"/>
    <mergeCell ref="AD28:AG28"/>
    <mergeCell ref="BH10:BK10"/>
    <mergeCell ref="AI10:AL10"/>
    <mergeCell ref="BM10:BP10"/>
    <mergeCell ref="BR10:BU10"/>
    <mergeCell ref="AD64:AG64"/>
    <mergeCell ref="BR46:BU46"/>
    <mergeCell ref="BR28:BU28"/>
    <mergeCell ref="AX28:BA28"/>
    <mergeCell ref="AX46:BA46"/>
    <mergeCell ref="BH28:BK28"/>
    <mergeCell ref="BM28:BP28"/>
    <mergeCell ref="C80:D80"/>
    <mergeCell ref="AS72:AV72"/>
    <mergeCell ref="AI64:AL64"/>
    <mergeCell ref="AN64:AQ64"/>
    <mergeCell ref="AS64:AV64"/>
    <mergeCell ref="BC64:BF64"/>
    <mergeCell ref="AX64:BA64"/>
    <mergeCell ref="K66:N66"/>
    <mergeCell ref="I67:J67"/>
    <mergeCell ref="I65:J65"/>
    <mergeCell ref="BM64:BP64"/>
    <mergeCell ref="I66:J66"/>
    <mergeCell ref="I64:J64"/>
    <mergeCell ref="L49:M49"/>
    <mergeCell ref="L50:M50"/>
    <mergeCell ref="L51:M51"/>
    <mergeCell ref="L52:M52"/>
    <mergeCell ref="C76:D76"/>
    <mergeCell ref="C79:D79"/>
    <mergeCell ref="I74:N74"/>
    <mergeCell ref="BC72:BF72"/>
    <mergeCell ref="AX72:BA72"/>
    <mergeCell ref="AN72:AQ72"/>
    <mergeCell ref="C72:D72"/>
    <mergeCell ref="AD83:AG83"/>
    <mergeCell ref="I78:N78"/>
    <mergeCell ref="I80:N80"/>
    <mergeCell ref="C77:D77"/>
    <mergeCell ref="I77:N77"/>
    <mergeCell ref="I79:N79"/>
    <mergeCell ref="C73:D73"/>
    <mergeCell ref="C74:D74"/>
    <mergeCell ref="AI72:AL72"/>
    <mergeCell ref="C75:D75"/>
    <mergeCell ref="I75:N75"/>
    <mergeCell ref="C78:D78"/>
    <mergeCell ref="I76:N76"/>
    <mergeCell ref="I73:N73"/>
    <mergeCell ref="I72:N72"/>
    <mergeCell ref="D96:F96"/>
    <mergeCell ref="J96:N96"/>
    <mergeCell ref="I81:N81"/>
    <mergeCell ref="C82:D82"/>
    <mergeCell ref="C81:D81"/>
    <mergeCell ref="D95:E95"/>
    <mergeCell ref="C91:N91"/>
    <mergeCell ref="C89:N89"/>
    <mergeCell ref="C86:N86"/>
    <mergeCell ref="I82:N82"/>
    <mergeCell ref="C83:G83"/>
    <mergeCell ref="C93:N93"/>
    <mergeCell ref="C92:N92"/>
    <mergeCell ref="C84:N84"/>
    <mergeCell ref="J95:K95"/>
    <mergeCell ref="C90:N90"/>
    <mergeCell ref="C85:N85"/>
    <mergeCell ref="C88:N88"/>
    <mergeCell ref="C87:N87"/>
    <mergeCell ref="I56:K56"/>
    <mergeCell ref="L54:M54"/>
    <mergeCell ref="L56:M56"/>
    <mergeCell ref="L55:M55"/>
    <mergeCell ref="I60:K60"/>
    <mergeCell ref="K69:N69"/>
    <mergeCell ref="I68:J68"/>
    <mergeCell ref="I69:J69"/>
    <mergeCell ref="K65:N65"/>
    <mergeCell ref="K64:N64"/>
    <mergeCell ref="K67:N67"/>
    <mergeCell ref="L58:M58"/>
    <mergeCell ref="L57:M57"/>
    <mergeCell ref="L60:M60"/>
    <mergeCell ref="L59:M59"/>
    <mergeCell ref="K68:N68"/>
    <mergeCell ref="I61:K61"/>
    <mergeCell ref="L61:M61"/>
    <mergeCell ref="I59:K59"/>
    <mergeCell ref="I58:K58"/>
    <mergeCell ref="I57:K57"/>
    <mergeCell ref="L48:M48"/>
    <mergeCell ref="I52:K52"/>
    <mergeCell ref="I54:K54"/>
    <mergeCell ref="I55:K55"/>
    <mergeCell ref="T2:U2"/>
    <mergeCell ref="O6:Q6"/>
    <mergeCell ref="O5:Q5"/>
    <mergeCell ref="O2:R2"/>
    <mergeCell ref="I4:R4"/>
    <mergeCell ref="I51:K51"/>
    <mergeCell ref="I53:K53"/>
    <mergeCell ref="I48:K48"/>
    <mergeCell ref="I49:K49"/>
    <mergeCell ref="I50:K50"/>
    <mergeCell ref="I47:K47"/>
    <mergeCell ref="L5:M5"/>
    <mergeCell ref="I5:K5"/>
    <mergeCell ref="T6:U6"/>
    <mergeCell ref="L53:M53"/>
    <mergeCell ref="CQ10:CT10"/>
    <mergeCell ref="BW10:BZ10"/>
    <mergeCell ref="CB10:CE10"/>
    <mergeCell ref="CG10:CJ10"/>
    <mergeCell ref="BC10:BF10"/>
    <mergeCell ref="L47:M47"/>
    <mergeCell ref="AN28:AQ28"/>
    <mergeCell ref="CL10:CO10"/>
    <mergeCell ref="AS46:AV46"/>
    <mergeCell ref="AS28:AV28"/>
    <mergeCell ref="CB46:CE46"/>
    <mergeCell ref="AD46:AG46"/>
    <mergeCell ref="BC46:BF46"/>
    <mergeCell ref="AI46:AL46"/>
    <mergeCell ref="AN46:AQ46"/>
  </mergeCells>
  <phoneticPr fontId="0" type="noConversion"/>
  <conditionalFormatting sqref="F65:G69">
    <cfRule type="expression" dxfId="3148" priority="3105" stopIfTrue="1">
      <formula>AND(NOT($C65=""),F65="")</formula>
    </cfRule>
  </conditionalFormatting>
  <conditionalFormatting sqref="M11:M25 M29:M43">
    <cfRule type="expression" dxfId="3147" priority="3106" stopIfTrue="1">
      <formula>BZ11="0"</formula>
    </cfRule>
  </conditionalFormatting>
  <conditionalFormatting sqref="D65:D69 D47:D61 D11:D25 D29:D43">
    <cfRule type="expression" dxfId="3146" priority="3107" stopIfTrue="1">
      <formula>AND(NOT($C11=""),D11="")</formula>
    </cfRule>
    <cfRule type="expression" dxfId="3145" priority="3108" stopIfTrue="1">
      <formula>AG11="0"</formula>
    </cfRule>
  </conditionalFormatting>
  <conditionalFormatting sqref="E65:E69 E73 E47:E61 E75:E82 E11:E25 E29:E43">
    <cfRule type="expression" dxfId="3144" priority="3109" stopIfTrue="1">
      <formula>AND(NOT($C11=""),E11="")</formula>
    </cfRule>
    <cfRule type="expression" dxfId="3143" priority="3110" stopIfTrue="1">
      <formula>AL11="0"</formula>
    </cfRule>
  </conditionalFormatting>
  <conditionalFormatting sqref="F73 F47:F61 F75:F82 F11:F25 F29:F43">
    <cfRule type="expression" dxfId="3142" priority="3111" stopIfTrue="1">
      <formula>AND(NOT($C11=""),F11="")</formula>
    </cfRule>
    <cfRule type="expression" dxfId="3141" priority="3112" stopIfTrue="1">
      <formula>AQ11="0"</formula>
    </cfRule>
  </conditionalFormatting>
  <conditionalFormatting sqref="G47:G61 G73:G82 G11:G25 G29:G43">
    <cfRule type="expression" dxfId="3140" priority="3113" stopIfTrue="1">
      <formula>AND(NOT($C11=""),G11="")</formula>
    </cfRule>
    <cfRule type="expression" dxfId="3139" priority="3114" stopIfTrue="1">
      <formula>AV11="0"</formula>
    </cfRule>
  </conditionalFormatting>
  <conditionalFormatting sqref="H65:H69 H47:H61 H73:H82 H11:H25 H29:H43">
    <cfRule type="expression" dxfId="3138" priority="3115" stopIfTrue="1">
      <formula>AND(NOT($C11=""),H11="")</formula>
    </cfRule>
    <cfRule type="expression" dxfId="3137" priority="3116" stopIfTrue="1">
      <formula>BA11="0"</formula>
    </cfRule>
  </conditionalFormatting>
  <conditionalFormatting sqref="I65:I69 I47:I61 I73:I82 I11:I25 I29:I43">
    <cfRule type="expression" dxfId="3136" priority="3117" stopIfTrue="1">
      <formula>AND(NOT($C11=""),I11="")</formula>
    </cfRule>
    <cfRule type="expression" dxfId="3135" priority="3118" stopIfTrue="1">
      <formula>BF11="0"</formula>
    </cfRule>
  </conditionalFormatting>
  <conditionalFormatting sqref="J11:J25 J29:J43">
    <cfRule type="expression" dxfId="3134" priority="3119" stopIfTrue="1">
      <formula>AND(NOT($C11=""),J11="")</formula>
    </cfRule>
    <cfRule type="expression" dxfId="3133" priority="3120" stopIfTrue="1">
      <formula>BK11="0"</formula>
    </cfRule>
  </conditionalFormatting>
  <conditionalFormatting sqref="K65:K69 K11:K25 K29:K43">
    <cfRule type="expression" dxfId="3132" priority="3121" stopIfTrue="1">
      <formula>AND(NOT($C11=""),K11="")</formula>
    </cfRule>
    <cfRule type="expression" dxfId="3131" priority="3122" stopIfTrue="1">
      <formula>BP11="0"</formula>
    </cfRule>
  </conditionalFormatting>
  <conditionalFormatting sqref="L47:L61 L11:L25 L29:L43">
    <cfRule type="expression" dxfId="3130" priority="3123" stopIfTrue="1">
      <formula>AND(NOT($C11=""),L11="")</formula>
    </cfRule>
    <cfRule type="expression" dxfId="3129" priority="3124" stopIfTrue="1">
      <formula>BU11="0"</formula>
    </cfRule>
  </conditionalFormatting>
  <conditionalFormatting sqref="N47:N61 N11:N25 N29:N43">
    <cfRule type="expression" dxfId="3128" priority="3125" stopIfTrue="1">
      <formula>AND(NOT($C11=""),N11="")</formula>
    </cfRule>
    <cfRule type="expression" dxfId="3127" priority="3126" stopIfTrue="1">
      <formula>CE11="0"</formula>
    </cfRule>
  </conditionalFormatting>
  <conditionalFormatting sqref="O11:O25">
    <cfRule type="expression" dxfId="3126" priority="3127" stopIfTrue="1">
      <formula>AND(NOT($C11=""),O11="")</formula>
    </cfRule>
    <cfRule type="expression" dxfId="3125" priority="3128" stopIfTrue="1">
      <formula>CJ11="0"</formula>
    </cfRule>
  </conditionalFormatting>
  <conditionalFormatting sqref="P11:P25">
    <cfRule type="expression" dxfId="3124" priority="3129" stopIfTrue="1">
      <formula>AND(NOT($C11=""),P11="")</formula>
    </cfRule>
    <cfRule type="expression" dxfId="3123" priority="3130" stopIfTrue="1">
      <formula>CO11="0"</formula>
    </cfRule>
  </conditionalFormatting>
  <conditionalFormatting sqref="Q11:Q25">
    <cfRule type="expression" dxfId="3122" priority="3131" stopIfTrue="1">
      <formula>AND(NOT($C11=""),Q11="")</formula>
    </cfRule>
    <cfRule type="expression" dxfId="3121" priority="3132" stopIfTrue="1">
      <formula>CT11="0"</formula>
    </cfRule>
  </conditionalFormatting>
  <conditionalFormatting sqref="T5">
    <cfRule type="expression" dxfId="3120" priority="3133" stopIfTrue="1">
      <formula>T5=0</formula>
    </cfRule>
  </conditionalFormatting>
  <conditionalFormatting sqref="S4:S6 I5:K6 I4">
    <cfRule type="expression" dxfId="3119" priority="3134" stopIfTrue="1">
      <formula>I4=""</formula>
    </cfRule>
  </conditionalFormatting>
  <conditionalFormatting sqref="N6">
    <cfRule type="expression" dxfId="3118" priority="3135" stopIfTrue="1">
      <formula>N6=""</formula>
    </cfRule>
  </conditionalFormatting>
  <conditionalFormatting sqref="N5">
    <cfRule type="expression" dxfId="3117" priority="3136" stopIfTrue="1">
      <formula>N5=""</formula>
    </cfRule>
    <cfRule type="expression" dxfId="3116" priority="3137" stopIfTrue="1">
      <formula>N5="нет"</formula>
    </cfRule>
  </conditionalFormatting>
  <conditionalFormatting sqref="E74">
    <cfRule type="expression" dxfId="3115" priority="3140" stopIfTrue="1">
      <formula>AND(NOT($C74=""),E74="")</formula>
    </cfRule>
    <cfRule type="expression" dxfId="3114" priority="3141" stopIfTrue="1">
      <formula>AQ74="0"</formula>
    </cfRule>
  </conditionalFormatting>
  <conditionalFormatting sqref="E74">
    <cfRule type="expression" dxfId="3113" priority="3103" stopIfTrue="1">
      <formula>AND(NOT($C74=""),E74="")</formula>
    </cfRule>
    <cfRule type="expression" dxfId="3112" priority="3104" stopIfTrue="1">
      <formula>AL74="0"</formula>
    </cfRule>
  </conditionalFormatting>
  <conditionalFormatting sqref="E74">
    <cfRule type="expression" dxfId="3111" priority="3101" stopIfTrue="1">
      <formula>AND(NOT($C74=""),E74="")</formula>
    </cfRule>
    <cfRule type="expression" dxfId="3110" priority="3102" stopIfTrue="1">
      <formula>AL74="0"</formula>
    </cfRule>
  </conditionalFormatting>
  <conditionalFormatting sqref="F74">
    <cfRule type="expression" dxfId="3109" priority="3099" stopIfTrue="1">
      <formula>AND(NOT($C74=""),F74="")</formula>
    </cfRule>
    <cfRule type="expression" dxfId="3108" priority="3100" stopIfTrue="1">
      <formula>AQ74="0"</formula>
    </cfRule>
  </conditionalFormatting>
  <conditionalFormatting sqref="E74">
    <cfRule type="expression" dxfId="3107" priority="3097" stopIfTrue="1">
      <formula>AND(NOT($C74=""),E74="")</formula>
    </cfRule>
    <cfRule type="expression" dxfId="3106" priority="3098" stopIfTrue="1">
      <formula>AL74="0"</formula>
    </cfRule>
  </conditionalFormatting>
  <conditionalFormatting sqref="E74">
    <cfRule type="expression" dxfId="3105" priority="3095" stopIfTrue="1">
      <formula>AND(NOT($C74=""),E74="")</formula>
    </cfRule>
    <cfRule type="expression" dxfId="3104" priority="3096" stopIfTrue="1">
      <formula>AL74="0"</formula>
    </cfRule>
  </conditionalFormatting>
  <conditionalFormatting sqref="F74">
    <cfRule type="expression" dxfId="3103" priority="3093" stopIfTrue="1">
      <formula>AND(NOT($C74=""),F74="")</formula>
    </cfRule>
    <cfRule type="expression" dxfId="3102" priority="3094" stopIfTrue="1">
      <formula>AQ74="0"</formula>
    </cfRule>
  </conditionalFormatting>
  <conditionalFormatting sqref="E75">
    <cfRule type="expression" dxfId="3101" priority="3091" stopIfTrue="1">
      <formula>AND(NOT($C75=""),E75="")</formula>
    </cfRule>
    <cfRule type="expression" dxfId="3100" priority="3092" stopIfTrue="1">
      <formula>AQ75="0"</formula>
    </cfRule>
  </conditionalFormatting>
  <conditionalFormatting sqref="E75">
    <cfRule type="expression" dxfId="3099" priority="3089" stopIfTrue="1">
      <formula>AND(NOT($C75=""),E75="")</formula>
    </cfRule>
    <cfRule type="expression" dxfId="3098" priority="3090" stopIfTrue="1">
      <formula>AL75="0"</formula>
    </cfRule>
  </conditionalFormatting>
  <conditionalFormatting sqref="E75">
    <cfRule type="expression" dxfId="3097" priority="3087" stopIfTrue="1">
      <formula>AND(NOT($C75=""),E75="")</formula>
    </cfRule>
    <cfRule type="expression" dxfId="3096" priority="3088" stopIfTrue="1">
      <formula>AL75="0"</formula>
    </cfRule>
  </conditionalFormatting>
  <conditionalFormatting sqref="F75">
    <cfRule type="expression" dxfId="3095" priority="3085" stopIfTrue="1">
      <formula>AND(NOT($C75=""),F75="")</formula>
    </cfRule>
    <cfRule type="expression" dxfId="3094" priority="3086" stopIfTrue="1">
      <formula>AQ75="0"</formula>
    </cfRule>
  </conditionalFormatting>
  <conditionalFormatting sqref="E75">
    <cfRule type="expression" dxfId="3093" priority="3083" stopIfTrue="1">
      <formula>AND(NOT($C75=""),E75="")</formula>
    </cfRule>
    <cfRule type="expression" dxfId="3092" priority="3084" stopIfTrue="1">
      <formula>AL75="0"</formula>
    </cfRule>
  </conditionalFormatting>
  <conditionalFormatting sqref="E75">
    <cfRule type="expression" dxfId="3091" priority="3081" stopIfTrue="1">
      <formula>AND(NOT($C75=""),E75="")</formula>
    </cfRule>
    <cfRule type="expression" dxfId="3090" priority="3082" stopIfTrue="1">
      <formula>AL75="0"</formula>
    </cfRule>
  </conditionalFormatting>
  <conditionalFormatting sqref="F75">
    <cfRule type="expression" dxfId="3089" priority="3079" stopIfTrue="1">
      <formula>AND(NOT($C75=""),F75="")</formula>
    </cfRule>
    <cfRule type="expression" dxfId="3088" priority="3080" stopIfTrue="1">
      <formula>AQ75="0"</formula>
    </cfRule>
  </conditionalFormatting>
  <conditionalFormatting sqref="E74">
    <cfRule type="expression" dxfId="3087" priority="3077" stopIfTrue="1">
      <formula>AND(NOT($C74=""),E74="")</formula>
    </cfRule>
    <cfRule type="expression" dxfId="3086" priority="3078" stopIfTrue="1">
      <formula>AL74="0"</formula>
    </cfRule>
  </conditionalFormatting>
  <conditionalFormatting sqref="F74">
    <cfRule type="expression" dxfId="3085" priority="3075" stopIfTrue="1">
      <formula>AND(NOT($C74=""),F74="")</formula>
    </cfRule>
    <cfRule type="expression" dxfId="3084" priority="3076" stopIfTrue="1">
      <formula>AQ74="0"</formula>
    </cfRule>
  </conditionalFormatting>
  <conditionalFormatting sqref="E74">
    <cfRule type="expression" dxfId="3083" priority="3073" stopIfTrue="1">
      <formula>AND(NOT($C74=""),E74="")</formula>
    </cfRule>
    <cfRule type="expression" dxfId="3082" priority="3074" stopIfTrue="1">
      <formula>AL74="0"</formula>
    </cfRule>
  </conditionalFormatting>
  <conditionalFormatting sqref="F74">
    <cfRule type="expression" dxfId="3081" priority="3071" stopIfTrue="1">
      <formula>AND(NOT($C74=""),F74="")</formula>
    </cfRule>
    <cfRule type="expression" dxfId="3080" priority="3072" stopIfTrue="1">
      <formula>AQ74="0"</formula>
    </cfRule>
  </conditionalFormatting>
  <conditionalFormatting sqref="M29">
    <cfRule type="expression" dxfId="3079" priority="3070" stopIfTrue="1">
      <formula>BZ29="0"</formula>
    </cfRule>
  </conditionalFormatting>
  <conditionalFormatting sqref="D29">
    <cfRule type="expression" dxfId="3078" priority="3068" stopIfTrue="1">
      <formula>AND(NOT($C29=""),D29="")</formula>
    </cfRule>
    <cfRule type="expression" dxfId="3077" priority="3069" stopIfTrue="1">
      <formula>AG29="0"</formula>
    </cfRule>
  </conditionalFormatting>
  <conditionalFormatting sqref="E29">
    <cfRule type="expression" dxfId="3076" priority="3066" stopIfTrue="1">
      <formula>AND(NOT($C29=""),E29="")</formula>
    </cfRule>
    <cfRule type="expression" dxfId="3075" priority="3067" stopIfTrue="1">
      <formula>AL29="0"</formula>
    </cfRule>
  </conditionalFormatting>
  <conditionalFormatting sqref="F29">
    <cfRule type="expression" dxfId="3074" priority="3064" stopIfTrue="1">
      <formula>AND(NOT($C29=""),F29="")</formula>
    </cfRule>
    <cfRule type="expression" dxfId="3073" priority="3065" stopIfTrue="1">
      <formula>AQ29="0"</formula>
    </cfRule>
  </conditionalFormatting>
  <conditionalFormatting sqref="G29">
    <cfRule type="expression" dxfId="3072" priority="3062" stopIfTrue="1">
      <formula>AND(NOT($C29=""),G29="")</formula>
    </cfRule>
    <cfRule type="expression" dxfId="3071" priority="3063" stopIfTrue="1">
      <formula>AV29="0"</formula>
    </cfRule>
  </conditionalFormatting>
  <conditionalFormatting sqref="H29">
    <cfRule type="expression" dxfId="3070" priority="3060" stopIfTrue="1">
      <formula>AND(NOT($C29=""),H29="")</formula>
    </cfRule>
    <cfRule type="expression" dxfId="3069" priority="3061" stopIfTrue="1">
      <formula>BA29="0"</formula>
    </cfRule>
  </conditionalFormatting>
  <conditionalFormatting sqref="I29">
    <cfRule type="expression" dxfId="3068" priority="3058" stopIfTrue="1">
      <formula>AND(NOT($C29=""),I29="")</formula>
    </cfRule>
    <cfRule type="expression" dxfId="3067" priority="3059" stopIfTrue="1">
      <formula>BF29="0"</formula>
    </cfRule>
  </conditionalFormatting>
  <conditionalFormatting sqref="J29">
    <cfRule type="expression" dxfId="3066" priority="3056" stopIfTrue="1">
      <formula>AND(NOT($C29=""),J29="")</formula>
    </cfRule>
    <cfRule type="expression" dxfId="3065" priority="3057" stopIfTrue="1">
      <formula>BK29="0"</formula>
    </cfRule>
  </conditionalFormatting>
  <conditionalFormatting sqref="K29">
    <cfRule type="expression" dxfId="3064" priority="3054" stopIfTrue="1">
      <formula>AND(NOT($C29=""),K29="")</formula>
    </cfRule>
    <cfRule type="expression" dxfId="3063" priority="3055" stopIfTrue="1">
      <formula>BP29="0"</formula>
    </cfRule>
  </conditionalFormatting>
  <conditionalFormatting sqref="L29">
    <cfRule type="expression" dxfId="3062" priority="3052" stopIfTrue="1">
      <formula>AND(NOT($C29=""),L29="")</formula>
    </cfRule>
    <cfRule type="expression" dxfId="3061" priority="3053" stopIfTrue="1">
      <formula>BU29="0"</formula>
    </cfRule>
  </conditionalFormatting>
  <conditionalFormatting sqref="N29">
    <cfRule type="expression" dxfId="3060" priority="3050" stopIfTrue="1">
      <formula>AND(NOT($C29=""),N29="")</formula>
    </cfRule>
    <cfRule type="expression" dxfId="3059" priority="3051" stopIfTrue="1">
      <formula>CE29="0"</formula>
    </cfRule>
  </conditionalFormatting>
  <conditionalFormatting sqref="M30">
    <cfRule type="expression" dxfId="3058" priority="3049" stopIfTrue="1">
      <formula>BZ30="0"</formula>
    </cfRule>
  </conditionalFormatting>
  <conditionalFormatting sqref="D30">
    <cfRule type="expression" dxfId="3057" priority="3047" stopIfTrue="1">
      <formula>AND(NOT($C30=""),D30="")</formula>
    </cfRule>
    <cfRule type="expression" dxfId="3056" priority="3048" stopIfTrue="1">
      <formula>AG30="0"</formula>
    </cfRule>
  </conditionalFormatting>
  <conditionalFormatting sqref="E30">
    <cfRule type="expression" dxfId="3055" priority="3045" stopIfTrue="1">
      <formula>AND(NOT($C30=""),E30="")</formula>
    </cfRule>
    <cfRule type="expression" dxfId="3054" priority="3046" stopIfTrue="1">
      <formula>AL30="0"</formula>
    </cfRule>
  </conditionalFormatting>
  <conditionalFormatting sqref="F30">
    <cfRule type="expression" dxfId="3053" priority="3043" stopIfTrue="1">
      <formula>AND(NOT($C30=""),F30="")</formula>
    </cfRule>
    <cfRule type="expression" dxfId="3052" priority="3044" stopIfTrue="1">
      <formula>AQ30="0"</formula>
    </cfRule>
  </conditionalFormatting>
  <conditionalFormatting sqref="G30">
    <cfRule type="expression" dxfId="3051" priority="3041" stopIfTrue="1">
      <formula>AND(NOT($C30=""),G30="")</formula>
    </cfRule>
    <cfRule type="expression" dxfId="3050" priority="3042" stopIfTrue="1">
      <formula>AV30="0"</formula>
    </cfRule>
  </conditionalFormatting>
  <conditionalFormatting sqref="H30">
    <cfRule type="expression" dxfId="3049" priority="3039" stopIfTrue="1">
      <formula>AND(NOT($C30=""),H30="")</formula>
    </cfRule>
    <cfRule type="expression" dxfId="3048" priority="3040" stopIfTrue="1">
      <formula>BA30="0"</formula>
    </cfRule>
  </conditionalFormatting>
  <conditionalFormatting sqref="I30">
    <cfRule type="expression" dxfId="3047" priority="3037" stopIfTrue="1">
      <formula>AND(NOT($C30=""),I30="")</formula>
    </cfRule>
    <cfRule type="expression" dxfId="3046" priority="3038" stopIfTrue="1">
      <formula>BF30="0"</formula>
    </cfRule>
  </conditionalFormatting>
  <conditionalFormatting sqref="J30">
    <cfRule type="expression" dxfId="3045" priority="3035" stopIfTrue="1">
      <formula>AND(NOT($C30=""),J30="")</formula>
    </cfRule>
    <cfRule type="expression" dxfId="3044" priority="3036" stopIfTrue="1">
      <formula>BK30="0"</formula>
    </cfRule>
  </conditionalFormatting>
  <conditionalFormatting sqref="K30">
    <cfRule type="expression" dxfId="3043" priority="3033" stopIfTrue="1">
      <formula>AND(NOT($C30=""),K30="")</formula>
    </cfRule>
    <cfRule type="expression" dxfId="3042" priority="3034" stopIfTrue="1">
      <formula>BP30="0"</formula>
    </cfRule>
  </conditionalFormatting>
  <conditionalFormatting sqref="L30">
    <cfRule type="expression" dxfId="3041" priority="3031" stopIfTrue="1">
      <formula>AND(NOT($C30=""),L30="")</formula>
    </cfRule>
    <cfRule type="expression" dxfId="3040" priority="3032" stopIfTrue="1">
      <formula>BU30="0"</formula>
    </cfRule>
  </conditionalFormatting>
  <conditionalFormatting sqref="N30">
    <cfRule type="expression" dxfId="3039" priority="3029" stopIfTrue="1">
      <formula>AND(NOT($C30=""),N30="")</formula>
    </cfRule>
    <cfRule type="expression" dxfId="3038" priority="3030" stopIfTrue="1">
      <formula>CE30="0"</formula>
    </cfRule>
  </conditionalFormatting>
  <conditionalFormatting sqref="M11">
    <cfRule type="expression" dxfId="3037" priority="3028" stopIfTrue="1">
      <formula>BZ11="0"</formula>
    </cfRule>
  </conditionalFormatting>
  <conditionalFormatting sqref="D11">
    <cfRule type="expression" dxfId="3036" priority="3026" stopIfTrue="1">
      <formula>AND(NOT($C11=""),D11="")</formula>
    </cfRule>
    <cfRule type="expression" dxfId="3035" priority="3027" stopIfTrue="1">
      <formula>AG11="0"</formula>
    </cfRule>
  </conditionalFormatting>
  <conditionalFormatting sqref="E11">
    <cfRule type="expression" dxfId="3034" priority="3024" stopIfTrue="1">
      <formula>AND(NOT($C11=""),E11="")</formula>
    </cfRule>
    <cfRule type="expression" dxfId="3033" priority="3025" stopIfTrue="1">
      <formula>AL11="0"</formula>
    </cfRule>
  </conditionalFormatting>
  <conditionalFormatting sqref="F11">
    <cfRule type="expression" dxfId="3032" priority="3022" stopIfTrue="1">
      <formula>AND(NOT($C11=""),F11="")</formula>
    </cfRule>
    <cfRule type="expression" dxfId="3031" priority="3023" stopIfTrue="1">
      <formula>AQ11="0"</formula>
    </cfRule>
  </conditionalFormatting>
  <conditionalFormatting sqref="G11">
    <cfRule type="expression" dxfId="3030" priority="3020" stopIfTrue="1">
      <formula>AND(NOT($C11=""),G11="")</formula>
    </cfRule>
    <cfRule type="expression" dxfId="3029" priority="3021" stopIfTrue="1">
      <formula>AV11="0"</formula>
    </cfRule>
  </conditionalFormatting>
  <conditionalFormatting sqref="H11">
    <cfRule type="expression" dxfId="3028" priority="3018" stopIfTrue="1">
      <formula>AND(NOT($C11=""),H11="")</formula>
    </cfRule>
    <cfRule type="expression" dxfId="3027" priority="3019" stopIfTrue="1">
      <formula>BA11="0"</formula>
    </cfRule>
  </conditionalFormatting>
  <conditionalFormatting sqref="I11">
    <cfRule type="expression" dxfId="3026" priority="3016" stopIfTrue="1">
      <formula>AND(NOT($C11=""),I11="")</formula>
    </cfRule>
    <cfRule type="expression" dxfId="3025" priority="3017" stopIfTrue="1">
      <formula>BF11="0"</formula>
    </cfRule>
  </conditionalFormatting>
  <conditionalFormatting sqref="J11">
    <cfRule type="expression" dxfId="3024" priority="3014" stopIfTrue="1">
      <formula>AND(NOT($C11=""),J11="")</formula>
    </cfRule>
    <cfRule type="expression" dxfId="3023" priority="3015" stopIfTrue="1">
      <formula>BK11="0"</formula>
    </cfRule>
  </conditionalFormatting>
  <conditionalFormatting sqref="K11">
    <cfRule type="expression" dxfId="3022" priority="3012" stopIfTrue="1">
      <formula>AND(NOT($C11=""),K11="")</formula>
    </cfRule>
    <cfRule type="expression" dxfId="3021" priority="3013" stopIfTrue="1">
      <formula>BP11="0"</formula>
    </cfRule>
  </conditionalFormatting>
  <conditionalFormatting sqref="L11">
    <cfRule type="expression" dxfId="3020" priority="3010" stopIfTrue="1">
      <formula>AND(NOT($C11=""),L11="")</formula>
    </cfRule>
    <cfRule type="expression" dxfId="3019" priority="3011" stopIfTrue="1">
      <formula>BU11="0"</formula>
    </cfRule>
  </conditionalFormatting>
  <conditionalFormatting sqref="N11">
    <cfRule type="expression" dxfId="3018" priority="3008" stopIfTrue="1">
      <formula>AND(NOT($C11=""),N11="")</formula>
    </cfRule>
    <cfRule type="expression" dxfId="3017" priority="3009" stopIfTrue="1">
      <formula>CE11="0"</formula>
    </cfRule>
  </conditionalFormatting>
  <conditionalFormatting sqref="M12">
    <cfRule type="expression" dxfId="3016" priority="3007" stopIfTrue="1">
      <formula>BZ12="0"</formula>
    </cfRule>
  </conditionalFormatting>
  <conditionalFormatting sqref="D12">
    <cfRule type="expression" dxfId="3015" priority="3005" stopIfTrue="1">
      <formula>AND(NOT($C12=""),D12="")</formula>
    </cfRule>
    <cfRule type="expression" dxfId="3014" priority="3006" stopIfTrue="1">
      <formula>AG12="0"</formula>
    </cfRule>
  </conditionalFormatting>
  <conditionalFormatting sqref="E12">
    <cfRule type="expression" dxfId="3013" priority="3003" stopIfTrue="1">
      <formula>AND(NOT($C12=""),E12="")</formula>
    </cfRule>
    <cfRule type="expression" dxfId="3012" priority="3004" stopIfTrue="1">
      <formula>AL12="0"</formula>
    </cfRule>
  </conditionalFormatting>
  <conditionalFormatting sqref="F12">
    <cfRule type="expression" dxfId="3011" priority="3001" stopIfTrue="1">
      <formula>AND(NOT($C12=""),F12="")</formula>
    </cfRule>
    <cfRule type="expression" dxfId="3010" priority="3002" stopIfTrue="1">
      <formula>AQ12="0"</formula>
    </cfRule>
  </conditionalFormatting>
  <conditionalFormatting sqref="G12">
    <cfRule type="expression" dxfId="3009" priority="2999" stopIfTrue="1">
      <formula>AND(NOT($C12=""),G12="")</formula>
    </cfRule>
    <cfRule type="expression" dxfId="3008" priority="3000" stopIfTrue="1">
      <formula>AV12="0"</formula>
    </cfRule>
  </conditionalFormatting>
  <conditionalFormatting sqref="H12">
    <cfRule type="expression" dxfId="3007" priority="2997" stopIfTrue="1">
      <formula>AND(NOT($C12=""),H12="")</formula>
    </cfRule>
    <cfRule type="expression" dxfId="3006" priority="2998" stopIfTrue="1">
      <formula>BA12="0"</formula>
    </cfRule>
  </conditionalFormatting>
  <conditionalFormatting sqref="I12">
    <cfRule type="expression" dxfId="3005" priority="2995" stopIfTrue="1">
      <formula>AND(NOT($C12=""),I12="")</formula>
    </cfRule>
    <cfRule type="expression" dxfId="3004" priority="2996" stopIfTrue="1">
      <formula>BF12="0"</formula>
    </cfRule>
  </conditionalFormatting>
  <conditionalFormatting sqref="J12">
    <cfRule type="expression" dxfId="3003" priority="2993" stopIfTrue="1">
      <formula>AND(NOT($C12=""),J12="")</formula>
    </cfRule>
    <cfRule type="expression" dxfId="3002" priority="2994" stopIfTrue="1">
      <formula>BK12="0"</formula>
    </cfRule>
  </conditionalFormatting>
  <conditionalFormatting sqref="K12">
    <cfRule type="expression" dxfId="3001" priority="2991" stopIfTrue="1">
      <formula>AND(NOT($C12=""),K12="")</formula>
    </cfRule>
    <cfRule type="expression" dxfId="3000" priority="2992" stopIfTrue="1">
      <formula>BP12="0"</formula>
    </cfRule>
  </conditionalFormatting>
  <conditionalFormatting sqref="L12">
    <cfRule type="expression" dxfId="2999" priority="2989" stopIfTrue="1">
      <formula>AND(NOT($C12=""),L12="")</formula>
    </cfRule>
    <cfRule type="expression" dxfId="2998" priority="2990" stopIfTrue="1">
      <formula>BU12="0"</formula>
    </cfRule>
  </conditionalFormatting>
  <conditionalFormatting sqref="N12">
    <cfRule type="expression" dxfId="2997" priority="2987" stopIfTrue="1">
      <formula>AND(NOT($C12=""),N12="")</formula>
    </cfRule>
    <cfRule type="expression" dxfId="2996" priority="2988" stopIfTrue="1">
      <formula>CE12="0"</formula>
    </cfRule>
  </conditionalFormatting>
  <conditionalFormatting sqref="M29">
    <cfRule type="expression" dxfId="2995" priority="2986" stopIfTrue="1">
      <formula>BZ29="0"</formula>
    </cfRule>
  </conditionalFormatting>
  <conditionalFormatting sqref="D29">
    <cfRule type="expression" dxfId="2994" priority="2984" stopIfTrue="1">
      <formula>AND(NOT($C29=""),D29="")</formula>
    </cfRule>
    <cfRule type="expression" dxfId="2993" priority="2985" stopIfTrue="1">
      <formula>AG29="0"</formula>
    </cfRule>
  </conditionalFormatting>
  <conditionalFormatting sqref="E29">
    <cfRule type="expression" dxfId="2992" priority="2982" stopIfTrue="1">
      <formula>AND(NOT($C29=""),E29="")</formula>
    </cfRule>
    <cfRule type="expression" dxfId="2991" priority="2983" stopIfTrue="1">
      <formula>AL29="0"</formula>
    </cfRule>
  </conditionalFormatting>
  <conditionalFormatting sqref="F29">
    <cfRule type="expression" dxfId="2990" priority="2980" stopIfTrue="1">
      <formula>AND(NOT($C29=""),F29="")</formula>
    </cfRule>
    <cfRule type="expression" dxfId="2989" priority="2981" stopIfTrue="1">
      <formula>AQ29="0"</formula>
    </cfRule>
  </conditionalFormatting>
  <conditionalFormatting sqref="G29">
    <cfRule type="expression" dxfId="2988" priority="2978" stopIfTrue="1">
      <formula>AND(NOT($C29=""),G29="")</formula>
    </cfRule>
    <cfRule type="expression" dxfId="2987" priority="2979" stopIfTrue="1">
      <formula>AV29="0"</formula>
    </cfRule>
  </conditionalFormatting>
  <conditionalFormatting sqref="H29">
    <cfRule type="expression" dxfId="2986" priority="2976" stopIfTrue="1">
      <formula>AND(NOT($C29=""),H29="")</formula>
    </cfRule>
    <cfRule type="expression" dxfId="2985" priority="2977" stopIfTrue="1">
      <formula>BA29="0"</formula>
    </cfRule>
  </conditionalFormatting>
  <conditionalFormatting sqref="I29">
    <cfRule type="expression" dxfId="2984" priority="2974" stopIfTrue="1">
      <formula>AND(NOT($C29=""),I29="")</formula>
    </cfRule>
    <cfRule type="expression" dxfId="2983" priority="2975" stopIfTrue="1">
      <formula>BF29="0"</formula>
    </cfRule>
  </conditionalFormatting>
  <conditionalFormatting sqref="J29">
    <cfRule type="expression" dxfId="2982" priority="2972" stopIfTrue="1">
      <formula>AND(NOT($C29=""),J29="")</formula>
    </cfRule>
    <cfRule type="expression" dxfId="2981" priority="2973" stopIfTrue="1">
      <formula>BK29="0"</formula>
    </cfRule>
  </conditionalFormatting>
  <conditionalFormatting sqref="K29">
    <cfRule type="expression" dxfId="2980" priority="2970" stopIfTrue="1">
      <formula>AND(NOT($C29=""),K29="")</formula>
    </cfRule>
    <cfRule type="expression" dxfId="2979" priority="2971" stopIfTrue="1">
      <formula>BP29="0"</formula>
    </cfRule>
  </conditionalFormatting>
  <conditionalFormatting sqref="L29">
    <cfRule type="expression" dxfId="2978" priority="2968" stopIfTrue="1">
      <formula>AND(NOT($C29=""),L29="")</formula>
    </cfRule>
    <cfRule type="expression" dxfId="2977" priority="2969" stopIfTrue="1">
      <formula>BU29="0"</formula>
    </cfRule>
  </conditionalFormatting>
  <conditionalFormatting sqref="N29">
    <cfRule type="expression" dxfId="2976" priority="2966" stopIfTrue="1">
      <formula>AND(NOT($C29=""),N29="")</formula>
    </cfRule>
    <cfRule type="expression" dxfId="2975" priority="2967" stopIfTrue="1">
      <formula>CE29="0"</formula>
    </cfRule>
  </conditionalFormatting>
  <conditionalFormatting sqref="M12:M16">
    <cfRule type="expression" dxfId="2974" priority="2965" stopIfTrue="1">
      <formula>BZ12="0"</formula>
    </cfRule>
  </conditionalFormatting>
  <conditionalFormatting sqref="E12:E16">
    <cfRule type="expression" dxfId="2973" priority="2963" stopIfTrue="1">
      <formula>AND(NOT($C12=""),E12="")</formula>
    </cfRule>
    <cfRule type="expression" dxfId="2972" priority="2964" stopIfTrue="1">
      <formula>AL12="0"</formula>
    </cfRule>
  </conditionalFormatting>
  <conditionalFormatting sqref="F12:F16">
    <cfRule type="expression" dxfId="2971" priority="2961" stopIfTrue="1">
      <formula>AND(NOT($C12=""),F12="")</formula>
    </cfRule>
    <cfRule type="expression" dxfId="2970" priority="2962" stopIfTrue="1">
      <formula>AQ12="0"</formula>
    </cfRule>
  </conditionalFormatting>
  <conditionalFormatting sqref="G12:G16">
    <cfRule type="expression" dxfId="2969" priority="2959" stopIfTrue="1">
      <formula>AND(NOT($C12=""),G12="")</formula>
    </cfRule>
    <cfRule type="expression" dxfId="2968" priority="2960" stopIfTrue="1">
      <formula>AV12="0"</formula>
    </cfRule>
  </conditionalFormatting>
  <conditionalFormatting sqref="H12:H16">
    <cfRule type="expression" dxfId="2967" priority="2957" stopIfTrue="1">
      <formula>AND(NOT($C12=""),H12="")</formula>
    </cfRule>
    <cfRule type="expression" dxfId="2966" priority="2958" stopIfTrue="1">
      <formula>BA12="0"</formula>
    </cfRule>
  </conditionalFormatting>
  <conditionalFormatting sqref="I12:I16">
    <cfRule type="expression" dxfId="2965" priority="2955" stopIfTrue="1">
      <formula>AND(NOT($C12=""),I12="")</formula>
    </cfRule>
    <cfRule type="expression" dxfId="2964" priority="2956" stopIfTrue="1">
      <formula>BF12="0"</formula>
    </cfRule>
  </conditionalFormatting>
  <conditionalFormatting sqref="J12:J16">
    <cfRule type="expression" dxfId="2963" priority="2953" stopIfTrue="1">
      <formula>AND(NOT($C12=""),J12="")</formula>
    </cfRule>
    <cfRule type="expression" dxfId="2962" priority="2954" stopIfTrue="1">
      <formula>BK12="0"</formula>
    </cfRule>
  </conditionalFormatting>
  <conditionalFormatting sqref="K12:K16">
    <cfRule type="expression" dxfId="2961" priority="2951" stopIfTrue="1">
      <formula>AND(NOT($C12=""),K12="")</formula>
    </cfRule>
    <cfRule type="expression" dxfId="2960" priority="2952" stopIfTrue="1">
      <formula>BP12="0"</formula>
    </cfRule>
  </conditionalFormatting>
  <conditionalFormatting sqref="L12:L16">
    <cfRule type="expression" dxfId="2959" priority="2949" stopIfTrue="1">
      <formula>AND(NOT($C12=""),L12="")</formula>
    </cfRule>
    <cfRule type="expression" dxfId="2958" priority="2950" stopIfTrue="1">
      <formula>BU12="0"</formula>
    </cfRule>
  </conditionalFormatting>
  <conditionalFormatting sqref="N12:N16">
    <cfRule type="expression" dxfId="2957" priority="2947" stopIfTrue="1">
      <formula>AND(NOT($C12=""),N12="")</formula>
    </cfRule>
    <cfRule type="expression" dxfId="2956" priority="2948" stopIfTrue="1">
      <formula>CE12="0"</formula>
    </cfRule>
  </conditionalFormatting>
  <conditionalFormatting sqref="M29">
    <cfRule type="expression" dxfId="2955" priority="2946" stopIfTrue="1">
      <formula>BZ29="0"</formula>
    </cfRule>
  </conditionalFormatting>
  <conditionalFormatting sqref="D29">
    <cfRule type="expression" dxfId="2954" priority="2944" stopIfTrue="1">
      <formula>AND(NOT($C29=""),D29="")</formula>
    </cfRule>
    <cfRule type="expression" dxfId="2953" priority="2945" stopIfTrue="1">
      <formula>AG29="0"</formula>
    </cfRule>
  </conditionalFormatting>
  <conditionalFormatting sqref="E29">
    <cfRule type="expression" dxfId="2952" priority="2942" stopIfTrue="1">
      <formula>AND(NOT($C29=""),E29="")</formula>
    </cfRule>
    <cfRule type="expression" dxfId="2951" priority="2943" stopIfTrue="1">
      <formula>AL29="0"</formula>
    </cfRule>
  </conditionalFormatting>
  <conditionalFormatting sqref="F29">
    <cfRule type="expression" dxfId="2950" priority="2940" stopIfTrue="1">
      <formula>AND(NOT($C29=""),F29="")</formula>
    </cfRule>
    <cfRule type="expression" dxfId="2949" priority="2941" stopIfTrue="1">
      <formula>AQ29="0"</formula>
    </cfRule>
  </conditionalFormatting>
  <conditionalFormatting sqref="G29">
    <cfRule type="expression" dxfId="2948" priority="2938" stopIfTrue="1">
      <formula>AND(NOT($C29=""),G29="")</formula>
    </cfRule>
    <cfRule type="expression" dxfId="2947" priority="2939" stopIfTrue="1">
      <formula>AV29="0"</formula>
    </cfRule>
  </conditionalFormatting>
  <conditionalFormatting sqref="H29">
    <cfRule type="expression" dxfId="2946" priority="2936" stopIfTrue="1">
      <formula>AND(NOT($C29=""),H29="")</formula>
    </cfRule>
    <cfRule type="expression" dxfId="2945" priority="2937" stopIfTrue="1">
      <formula>BA29="0"</formula>
    </cfRule>
  </conditionalFormatting>
  <conditionalFormatting sqref="I29">
    <cfRule type="expression" dxfId="2944" priority="2934" stopIfTrue="1">
      <formula>AND(NOT($C29=""),I29="")</formula>
    </cfRule>
    <cfRule type="expression" dxfId="2943" priority="2935" stopIfTrue="1">
      <formula>BF29="0"</formula>
    </cfRule>
  </conditionalFormatting>
  <conditionalFormatting sqref="J29">
    <cfRule type="expression" dxfId="2942" priority="2932" stopIfTrue="1">
      <formula>AND(NOT($C29=""),J29="")</formula>
    </cfRule>
    <cfRule type="expression" dxfId="2941" priority="2933" stopIfTrue="1">
      <formula>BK29="0"</formula>
    </cfRule>
  </conditionalFormatting>
  <conditionalFormatting sqref="K29">
    <cfRule type="expression" dxfId="2940" priority="2930" stopIfTrue="1">
      <formula>AND(NOT($C29=""),K29="")</formula>
    </cfRule>
    <cfRule type="expression" dxfId="2939" priority="2931" stopIfTrue="1">
      <formula>BP29="0"</formula>
    </cfRule>
  </conditionalFormatting>
  <conditionalFormatting sqref="L29">
    <cfRule type="expression" dxfId="2938" priority="2928" stopIfTrue="1">
      <formula>AND(NOT($C29=""),L29="")</formula>
    </cfRule>
    <cfRule type="expression" dxfId="2937" priority="2929" stopIfTrue="1">
      <formula>BU29="0"</formula>
    </cfRule>
  </conditionalFormatting>
  <conditionalFormatting sqref="N29">
    <cfRule type="expression" dxfId="2936" priority="2926" stopIfTrue="1">
      <formula>AND(NOT($C29=""),N29="")</formula>
    </cfRule>
    <cfRule type="expression" dxfId="2935" priority="2927" stopIfTrue="1">
      <formula>CE29="0"</formula>
    </cfRule>
  </conditionalFormatting>
  <conditionalFormatting sqref="M30">
    <cfRule type="expression" dxfId="2934" priority="2925" stopIfTrue="1">
      <formula>BZ30="0"</formula>
    </cfRule>
  </conditionalFormatting>
  <conditionalFormatting sqref="D30">
    <cfRule type="expression" dxfId="2933" priority="2923" stopIfTrue="1">
      <formula>AND(NOT($C30=""),D30="")</formula>
    </cfRule>
    <cfRule type="expression" dxfId="2932" priority="2924" stopIfTrue="1">
      <formula>AG30="0"</formula>
    </cfRule>
  </conditionalFormatting>
  <conditionalFormatting sqref="E30">
    <cfRule type="expression" dxfId="2931" priority="2921" stopIfTrue="1">
      <formula>AND(NOT($C30=""),E30="")</formula>
    </cfRule>
    <cfRule type="expression" dxfId="2930" priority="2922" stopIfTrue="1">
      <formula>AL30="0"</formula>
    </cfRule>
  </conditionalFormatting>
  <conditionalFormatting sqref="F30">
    <cfRule type="expression" dxfId="2929" priority="2919" stopIfTrue="1">
      <formula>AND(NOT($C30=""),F30="")</formula>
    </cfRule>
    <cfRule type="expression" dxfId="2928" priority="2920" stopIfTrue="1">
      <formula>AQ30="0"</formula>
    </cfRule>
  </conditionalFormatting>
  <conditionalFormatting sqref="G30">
    <cfRule type="expression" dxfId="2927" priority="2917" stopIfTrue="1">
      <formula>AND(NOT($C30=""),G30="")</formula>
    </cfRule>
    <cfRule type="expression" dxfId="2926" priority="2918" stopIfTrue="1">
      <formula>AV30="0"</formula>
    </cfRule>
  </conditionalFormatting>
  <conditionalFormatting sqref="H30">
    <cfRule type="expression" dxfId="2925" priority="2915" stopIfTrue="1">
      <formula>AND(NOT($C30=""),H30="")</formula>
    </cfRule>
    <cfRule type="expression" dxfId="2924" priority="2916" stopIfTrue="1">
      <formula>BA30="0"</formula>
    </cfRule>
  </conditionalFormatting>
  <conditionalFormatting sqref="I30">
    <cfRule type="expression" dxfId="2923" priority="2913" stopIfTrue="1">
      <formula>AND(NOT($C30=""),I30="")</formula>
    </cfRule>
    <cfRule type="expression" dxfId="2922" priority="2914" stopIfTrue="1">
      <formula>BF30="0"</formula>
    </cfRule>
  </conditionalFormatting>
  <conditionalFormatting sqref="J30">
    <cfRule type="expression" dxfId="2921" priority="2911" stopIfTrue="1">
      <formula>AND(NOT($C30=""),J30="")</formula>
    </cfRule>
    <cfRule type="expression" dxfId="2920" priority="2912" stopIfTrue="1">
      <formula>BK30="0"</formula>
    </cfRule>
  </conditionalFormatting>
  <conditionalFormatting sqref="K30">
    <cfRule type="expression" dxfId="2919" priority="2909" stopIfTrue="1">
      <formula>AND(NOT($C30=""),K30="")</formula>
    </cfRule>
    <cfRule type="expression" dxfId="2918" priority="2910" stopIfTrue="1">
      <formula>BP30="0"</formula>
    </cfRule>
  </conditionalFormatting>
  <conditionalFormatting sqref="L30">
    <cfRule type="expression" dxfId="2917" priority="2907" stopIfTrue="1">
      <formula>AND(NOT($C30=""),L30="")</formula>
    </cfRule>
    <cfRule type="expression" dxfId="2916" priority="2908" stopIfTrue="1">
      <formula>BU30="0"</formula>
    </cfRule>
  </conditionalFormatting>
  <conditionalFormatting sqref="N30">
    <cfRule type="expression" dxfId="2915" priority="2905" stopIfTrue="1">
      <formula>AND(NOT($C30=""),N30="")</formula>
    </cfRule>
    <cfRule type="expression" dxfId="2914" priority="2906" stopIfTrue="1">
      <formula>CE30="0"</formula>
    </cfRule>
  </conditionalFormatting>
  <conditionalFormatting sqref="M30:M34">
    <cfRule type="expression" dxfId="2913" priority="2904" stopIfTrue="1">
      <formula>BZ30="0"</formula>
    </cfRule>
  </conditionalFormatting>
  <conditionalFormatting sqref="E30:E34">
    <cfRule type="expression" dxfId="2912" priority="2902" stopIfTrue="1">
      <formula>AND(NOT($C30=""),E30="")</formula>
    </cfRule>
    <cfRule type="expression" dxfId="2911" priority="2903" stopIfTrue="1">
      <formula>AL30="0"</formula>
    </cfRule>
  </conditionalFormatting>
  <conditionalFormatting sqref="F30:F34">
    <cfRule type="expression" dxfId="2910" priority="2900" stopIfTrue="1">
      <formula>AND(NOT($C30=""),F30="")</formula>
    </cfRule>
    <cfRule type="expression" dxfId="2909" priority="2901" stopIfTrue="1">
      <formula>AQ30="0"</formula>
    </cfRule>
  </conditionalFormatting>
  <conditionalFormatting sqref="G30:G34">
    <cfRule type="expression" dxfId="2908" priority="2898" stopIfTrue="1">
      <formula>AND(NOT($C30=""),G30="")</formula>
    </cfRule>
    <cfRule type="expression" dxfId="2907" priority="2899" stopIfTrue="1">
      <formula>AV30="0"</formula>
    </cfRule>
  </conditionalFormatting>
  <conditionalFormatting sqref="H30:H34">
    <cfRule type="expression" dxfId="2906" priority="2896" stopIfTrue="1">
      <formula>AND(NOT($C30=""),H30="")</formula>
    </cfRule>
    <cfRule type="expression" dxfId="2905" priority="2897" stopIfTrue="1">
      <formula>BA30="0"</formula>
    </cfRule>
  </conditionalFormatting>
  <conditionalFormatting sqref="I30:I34">
    <cfRule type="expression" dxfId="2904" priority="2894" stopIfTrue="1">
      <formula>AND(NOT($C30=""),I30="")</formula>
    </cfRule>
    <cfRule type="expression" dxfId="2903" priority="2895" stopIfTrue="1">
      <formula>BF30="0"</formula>
    </cfRule>
  </conditionalFormatting>
  <conditionalFormatting sqref="J30:J34">
    <cfRule type="expression" dxfId="2902" priority="2892" stopIfTrue="1">
      <formula>AND(NOT($C30=""),J30="")</formula>
    </cfRule>
    <cfRule type="expression" dxfId="2901" priority="2893" stopIfTrue="1">
      <formula>BK30="0"</formula>
    </cfRule>
  </conditionalFormatting>
  <conditionalFormatting sqref="K30:K34">
    <cfRule type="expression" dxfId="2900" priority="2890" stopIfTrue="1">
      <formula>AND(NOT($C30=""),K30="")</formula>
    </cfRule>
    <cfRule type="expression" dxfId="2899" priority="2891" stopIfTrue="1">
      <formula>BP30="0"</formula>
    </cfRule>
  </conditionalFormatting>
  <conditionalFormatting sqref="L30:L34">
    <cfRule type="expression" dxfId="2898" priority="2888" stopIfTrue="1">
      <formula>AND(NOT($C30=""),L30="")</formula>
    </cfRule>
    <cfRule type="expression" dxfId="2897" priority="2889" stopIfTrue="1">
      <formula>BU30="0"</formula>
    </cfRule>
  </conditionalFormatting>
  <conditionalFormatting sqref="N30:N34">
    <cfRule type="expression" dxfId="2896" priority="2886" stopIfTrue="1">
      <formula>AND(NOT($C30=""),N30="")</formula>
    </cfRule>
    <cfRule type="expression" dxfId="2895" priority="2887" stopIfTrue="1">
      <formula>CE30="0"</formula>
    </cfRule>
  </conditionalFormatting>
  <conditionalFormatting sqref="M31">
    <cfRule type="expression" dxfId="2894" priority="2885" stopIfTrue="1">
      <formula>BZ31="0"</formula>
    </cfRule>
  </conditionalFormatting>
  <conditionalFormatting sqref="D31">
    <cfRule type="expression" dxfId="2893" priority="2883" stopIfTrue="1">
      <formula>AND(NOT($C31=""),D31="")</formula>
    </cfRule>
    <cfRule type="expression" dxfId="2892" priority="2884" stopIfTrue="1">
      <formula>AG31="0"</formula>
    </cfRule>
  </conditionalFormatting>
  <conditionalFormatting sqref="E31">
    <cfRule type="expression" dxfId="2891" priority="2881" stopIfTrue="1">
      <formula>AND(NOT($C31=""),E31="")</formula>
    </cfRule>
    <cfRule type="expression" dxfId="2890" priority="2882" stopIfTrue="1">
      <formula>AL31="0"</formula>
    </cfRule>
  </conditionalFormatting>
  <conditionalFormatting sqref="F31">
    <cfRule type="expression" dxfId="2889" priority="2879" stopIfTrue="1">
      <formula>AND(NOT($C31=""),F31="")</formula>
    </cfRule>
    <cfRule type="expression" dxfId="2888" priority="2880" stopIfTrue="1">
      <formula>AQ31="0"</formula>
    </cfRule>
  </conditionalFormatting>
  <conditionalFormatting sqref="G31">
    <cfRule type="expression" dxfId="2887" priority="2877" stopIfTrue="1">
      <formula>AND(NOT($C31=""),G31="")</formula>
    </cfRule>
    <cfRule type="expression" dxfId="2886" priority="2878" stopIfTrue="1">
      <formula>AV31="0"</formula>
    </cfRule>
  </conditionalFormatting>
  <conditionalFormatting sqref="H31">
    <cfRule type="expression" dxfId="2885" priority="2875" stopIfTrue="1">
      <formula>AND(NOT($C31=""),H31="")</formula>
    </cfRule>
    <cfRule type="expression" dxfId="2884" priority="2876" stopIfTrue="1">
      <formula>BA31="0"</formula>
    </cfRule>
  </conditionalFormatting>
  <conditionalFormatting sqref="I31">
    <cfRule type="expression" dxfId="2883" priority="2873" stopIfTrue="1">
      <formula>AND(NOT($C31=""),I31="")</formula>
    </cfRule>
    <cfRule type="expression" dxfId="2882" priority="2874" stopIfTrue="1">
      <formula>BF31="0"</formula>
    </cfRule>
  </conditionalFormatting>
  <conditionalFormatting sqref="J31">
    <cfRule type="expression" dxfId="2881" priority="2871" stopIfTrue="1">
      <formula>AND(NOT($C31=""),J31="")</formula>
    </cfRule>
    <cfRule type="expression" dxfId="2880" priority="2872" stopIfTrue="1">
      <formula>BK31="0"</formula>
    </cfRule>
  </conditionalFormatting>
  <conditionalFormatting sqref="K31">
    <cfRule type="expression" dxfId="2879" priority="2869" stopIfTrue="1">
      <formula>AND(NOT($C31=""),K31="")</formula>
    </cfRule>
    <cfRule type="expression" dxfId="2878" priority="2870" stopIfTrue="1">
      <formula>BP31="0"</formula>
    </cfRule>
  </conditionalFormatting>
  <conditionalFormatting sqref="L31">
    <cfRule type="expression" dxfId="2877" priority="2867" stopIfTrue="1">
      <formula>AND(NOT($C31=""),L31="")</formula>
    </cfRule>
    <cfRule type="expression" dxfId="2876" priority="2868" stopIfTrue="1">
      <formula>BU31="0"</formula>
    </cfRule>
  </conditionalFormatting>
  <conditionalFormatting sqref="N31">
    <cfRule type="expression" dxfId="2875" priority="2865" stopIfTrue="1">
      <formula>AND(NOT($C31=""),N31="")</formula>
    </cfRule>
    <cfRule type="expression" dxfId="2874" priority="2866" stopIfTrue="1">
      <formula>CE31="0"</formula>
    </cfRule>
  </conditionalFormatting>
  <conditionalFormatting sqref="M31">
    <cfRule type="expression" dxfId="2873" priority="2864" stopIfTrue="1">
      <formula>BZ31="0"</formula>
    </cfRule>
  </conditionalFormatting>
  <conditionalFormatting sqref="D31">
    <cfRule type="expression" dxfId="2872" priority="2862" stopIfTrue="1">
      <formula>AND(NOT($C31=""),D31="")</formula>
    </cfRule>
    <cfRule type="expression" dxfId="2871" priority="2863" stopIfTrue="1">
      <formula>AG31="0"</formula>
    </cfRule>
  </conditionalFormatting>
  <conditionalFormatting sqref="E31">
    <cfRule type="expression" dxfId="2870" priority="2860" stopIfTrue="1">
      <formula>AND(NOT($C31=""),E31="")</formula>
    </cfRule>
    <cfRule type="expression" dxfId="2869" priority="2861" stopIfTrue="1">
      <formula>AL31="0"</formula>
    </cfRule>
  </conditionalFormatting>
  <conditionalFormatting sqref="F31">
    <cfRule type="expression" dxfId="2868" priority="2858" stopIfTrue="1">
      <formula>AND(NOT($C31=""),F31="")</formula>
    </cfRule>
    <cfRule type="expression" dxfId="2867" priority="2859" stopIfTrue="1">
      <formula>AQ31="0"</formula>
    </cfRule>
  </conditionalFormatting>
  <conditionalFormatting sqref="G31">
    <cfRule type="expression" dxfId="2866" priority="2856" stopIfTrue="1">
      <formula>AND(NOT($C31=""),G31="")</formula>
    </cfRule>
    <cfRule type="expression" dxfId="2865" priority="2857" stopIfTrue="1">
      <formula>AV31="0"</formula>
    </cfRule>
  </conditionalFormatting>
  <conditionalFormatting sqref="H31">
    <cfRule type="expression" dxfId="2864" priority="2854" stopIfTrue="1">
      <formula>AND(NOT($C31=""),H31="")</formula>
    </cfRule>
    <cfRule type="expression" dxfId="2863" priority="2855" stopIfTrue="1">
      <formula>BA31="0"</formula>
    </cfRule>
  </conditionalFormatting>
  <conditionalFormatting sqref="I31">
    <cfRule type="expression" dxfId="2862" priority="2852" stopIfTrue="1">
      <formula>AND(NOT($C31=""),I31="")</formula>
    </cfRule>
    <cfRule type="expression" dxfId="2861" priority="2853" stopIfTrue="1">
      <formula>BF31="0"</formula>
    </cfRule>
  </conditionalFormatting>
  <conditionalFormatting sqref="J31">
    <cfRule type="expression" dxfId="2860" priority="2850" stopIfTrue="1">
      <formula>AND(NOT($C31=""),J31="")</formula>
    </cfRule>
    <cfRule type="expression" dxfId="2859" priority="2851" stopIfTrue="1">
      <formula>BK31="0"</formula>
    </cfRule>
  </conditionalFormatting>
  <conditionalFormatting sqref="K31">
    <cfRule type="expression" dxfId="2858" priority="2848" stopIfTrue="1">
      <formula>AND(NOT($C31=""),K31="")</formula>
    </cfRule>
    <cfRule type="expression" dxfId="2857" priority="2849" stopIfTrue="1">
      <formula>BP31="0"</formula>
    </cfRule>
  </conditionalFormatting>
  <conditionalFormatting sqref="L31">
    <cfRule type="expression" dxfId="2856" priority="2846" stopIfTrue="1">
      <formula>AND(NOT($C31=""),L31="")</formula>
    </cfRule>
    <cfRule type="expression" dxfId="2855" priority="2847" stopIfTrue="1">
      <formula>BU31="0"</formula>
    </cfRule>
  </conditionalFormatting>
  <conditionalFormatting sqref="N31">
    <cfRule type="expression" dxfId="2854" priority="2844" stopIfTrue="1">
      <formula>AND(NOT($C31=""),N31="")</formula>
    </cfRule>
    <cfRule type="expression" dxfId="2853" priority="2845" stopIfTrue="1">
      <formula>CE31="0"</formula>
    </cfRule>
  </conditionalFormatting>
  <conditionalFormatting sqref="M31">
    <cfRule type="expression" dxfId="2852" priority="2843" stopIfTrue="1">
      <formula>BZ31="0"</formula>
    </cfRule>
  </conditionalFormatting>
  <conditionalFormatting sqref="D31">
    <cfRule type="expression" dxfId="2851" priority="2841" stopIfTrue="1">
      <formula>AND(NOT($C31=""),D31="")</formula>
    </cfRule>
    <cfRule type="expression" dxfId="2850" priority="2842" stopIfTrue="1">
      <formula>AG31="0"</formula>
    </cfRule>
  </conditionalFormatting>
  <conditionalFormatting sqref="E31">
    <cfRule type="expression" dxfId="2849" priority="2839" stopIfTrue="1">
      <formula>AND(NOT($C31=""),E31="")</formula>
    </cfRule>
    <cfRule type="expression" dxfId="2848" priority="2840" stopIfTrue="1">
      <formula>AL31="0"</formula>
    </cfRule>
  </conditionalFormatting>
  <conditionalFormatting sqref="F31">
    <cfRule type="expression" dxfId="2847" priority="2837" stopIfTrue="1">
      <formula>AND(NOT($C31=""),F31="")</formula>
    </cfRule>
    <cfRule type="expression" dxfId="2846" priority="2838" stopIfTrue="1">
      <formula>AQ31="0"</formula>
    </cfRule>
  </conditionalFormatting>
  <conditionalFormatting sqref="G31">
    <cfRule type="expression" dxfId="2845" priority="2835" stopIfTrue="1">
      <formula>AND(NOT($C31=""),G31="")</formula>
    </cfRule>
    <cfRule type="expression" dxfId="2844" priority="2836" stopIfTrue="1">
      <formula>AV31="0"</formula>
    </cfRule>
  </conditionalFormatting>
  <conditionalFormatting sqref="H31">
    <cfRule type="expression" dxfId="2843" priority="2833" stopIfTrue="1">
      <formula>AND(NOT($C31=""),H31="")</formula>
    </cfRule>
    <cfRule type="expression" dxfId="2842" priority="2834" stopIfTrue="1">
      <formula>BA31="0"</formula>
    </cfRule>
  </conditionalFormatting>
  <conditionalFormatting sqref="I31">
    <cfRule type="expression" dxfId="2841" priority="2831" stopIfTrue="1">
      <formula>AND(NOT($C31=""),I31="")</formula>
    </cfRule>
    <cfRule type="expression" dxfId="2840" priority="2832" stopIfTrue="1">
      <formula>BF31="0"</formula>
    </cfRule>
  </conditionalFormatting>
  <conditionalFormatting sqref="J31">
    <cfRule type="expression" dxfId="2839" priority="2829" stopIfTrue="1">
      <formula>AND(NOT($C31=""),J31="")</formula>
    </cfRule>
    <cfRule type="expression" dxfId="2838" priority="2830" stopIfTrue="1">
      <formula>BK31="0"</formula>
    </cfRule>
  </conditionalFormatting>
  <conditionalFormatting sqref="K31">
    <cfRule type="expression" dxfId="2837" priority="2827" stopIfTrue="1">
      <formula>AND(NOT($C31=""),K31="")</formula>
    </cfRule>
    <cfRule type="expression" dxfId="2836" priority="2828" stopIfTrue="1">
      <formula>BP31="0"</formula>
    </cfRule>
  </conditionalFormatting>
  <conditionalFormatting sqref="L31">
    <cfRule type="expression" dxfId="2835" priority="2825" stopIfTrue="1">
      <formula>AND(NOT($C31=""),L31="")</formula>
    </cfRule>
    <cfRule type="expression" dxfId="2834" priority="2826" stopIfTrue="1">
      <formula>BU31="0"</formula>
    </cfRule>
  </conditionalFormatting>
  <conditionalFormatting sqref="N31">
    <cfRule type="expression" dxfId="2833" priority="2823" stopIfTrue="1">
      <formula>AND(NOT($C31=""),N31="")</formula>
    </cfRule>
    <cfRule type="expression" dxfId="2832" priority="2824" stopIfTrue="1">
      <formula>CE31="0"</formula>
    </cfRule>
  </conditionalFormatting>
  <conditionalFormatting sqref="M33">
    <cfRule type="expression" dxfId="2831" priority="2822" stopIfTrue="1">
      <formula>BZ33="0"</formula>
    </cfRule>
  </conditionalFormatting>
  <conditionalFormatting sqref="D33">
    <cfRule type="expression" dxfId="2830" priority="2820" stopIfTrue="1">
      <formula>AND(NOT($C33=""),D33="")</formula>
    </cfRule>
    <cfRule type="expression" dxfId="2829" priority="2821" stopIfTrue="1">
      <formula>AG33="0"</formula>
    </cfRule>
  </conditionalFormatting>
  <conditionalFormatting sqref="E33">
    <cfRule type="expression" dxfId="2828" priority="2818" stopIfTrue="1">
      <formula>AND(NOT($C33=""),E33="")</formula>
    </cfRule>
    <cfRule type="expression" dxfId="2827" priority="2819" stopIfTrue="1">
      <formula>AL33="0"</formula>
    </cfRule>
  </conditionalFormatting>
  <conditionalFormatting sqref="F33">
    <cfRule type="expression" dxfId="2826" priority="2816" stopIfTrue="1">
      <formula>AND(NOT($C33=""),F33="")</formula>
    </cfRule>
    <cfRule type="expression" dxfId="2825" priority="2817" stopIfTrue="1">
      <formula>AQ33="0"</formula>
    </cfRule>
  </conditionalFormatting>
  <conditionalFormatting sqref="G33">
    <cfRule type="expression" dxfId="2824" priority="2814" stopIfTrue="1">
      <formula>AND(NOT($C33=""),G33="")</formula>
    </cfRule>
    <cfRule type="expression" dxfId="2823" priority="2815" stopIfTrue="1">
      <formula>AV33="0"</formula>
    </cfRule>
  </conditionalFormatting>
  <conditionalFormatting sqref="H33">
    <cfRule type="expression" dxfId="2822" priority="2812" stopIfTrue="1">
      <formula>AND(NOT($C33=""),H33="")</formula>
    </cfRule>
    <cfRule type="expression" dxfId="2821" priority="2813" stopIfTrue="1">
      <formula>BA33="0"</formula>
    </cfRule>
  </conditionalFormatting>
  <conditionalFormatting sqref="I33">
    <cfRule type="expression" dxfId="2820" priority="2810" stopIfTrue="1">
      <formula>AND(NOT($C33=""),I33="")</formula>
    </cfRule>
    <cfRule type="expression" dxfId="2819" priority="2811" stopIfTrue="1">
      <formula>BF33="0"</formula>
    </cfRule>
  </conditionalFormatting>
  <conditionalFormatting sqref="J33">
    <cfRule type="expression" dxfId="2818" priority="2808" stopIfTrue="1">
      <formula>AND(NOT($C33=""),J33="")</formula>
    </cfRule>
    <cfRule type="expression" dxfId="2817" priority="2809" stopIfTrue="1">
      <formula>BK33="0"</formula>
    </cfRule>
  </conditionalFormatting>
  <conditionalFormatting sqref="K33">
    <cfRule type="expression" dxfId="2816" priority="2806" stopIfTrue="1">
      <formula>AND(NOT($C33=""),K33="")</formula>
    </cfRule>
    <cfRule type="expression" dxfId="2815" priority="2807" stopIfTrue="1">
      <formula>BP33="0"</formula>
    </cfRule>
  </conditionalFormatting>
  <conditionalFormatting sqref="L33">
    <cfRule type="expression" dxfId="2814" priority="2804" stopIfTrue="1">
      <formula>AND(NOT($C33=""),L33="")</formula>
    </cfRule>
    <cfRule type="expression" dxfId="2813" priority="2805" stopIfTrue="1">
      <formula>BU33="0"</formula>
    </cfRule>
  </conditionalFormatting>
  <conditionalFormatting sqref="N33">
    <cfRule type="expression" dxfId="2812" priority="2802" stopIfTrue="1">
      <formula>AND(NOT($C33=""),N33="")</formula>
    </cfRule>
    <cfRule type="expression" dxfId="2811" priority="2803" stopIfTrue="1">
      <formula>CE33="0"</formula>
    </cfRule>
  </conditionalFormatting>
  <conditionalFormatting sqref="M33">
    <cfRule type="expression" dxfId="2810" priority="2801" stopIfTrue="1">
      <formula>BZ33="0"</formula>
    </cfRule>
  </conditionalFormatting>
  <conditionalFormatting sqref="D33">
    <cfRule type="expression" dxfId="2809" priority="2799" stopIfTrue="1">
      <formula>AND(NOT($C33=""),D33="")</formula>
    </cfRule>
    <cfRule type="expression" dxfId="2808" priority="2800" stopIfTrue="1">
      <formula>AG33="0"</formula>
    </cfRule>
  </conditionalFormatting>
  <conditionalFormatting sqref="E33">
    <cfRule type="expression" dxfId="2807" priority="2797" stopIfTrue="1">
      <formula>AND(NOT($C33=""),E33="")</formula>
    </cfRule>
    <cfRule type="expression" dxfId="2806" priority="2798" stopIfTrue="1">
      <formula>AL33="0"</formula>
    </cfRule>
  </conditionalFormatting>
  <conditionalFormatting sqref="F33">
    <cfRule type="expression" dxfId="2805" priority="2795" stopIfTrue="1">
      <formula>AND(NOT($C33=""),F33="")</formula>
    </cfRule>
    <cfRule type="expression" dxfId="2804" priority="2796" stopIfTrue="1">
      <formula>AQ33="0"</formula>
    </cfRule>
  </conditionalFormatting>
  <conditionalFormatting sqref="G33">
    <cfRule type="expression" dxfId="2803" priority="2793" stopIfTrue="1">
      <formula>AND(NOT($C33=""),G33="")</formula>
    </cfRule>
    <cfRule type="expression" dxfId="2802" priority="2794" stopIfTrue="1">
      <formula>AV33="0"</formula>
    </cfRule>
  </conditionalFormatting>
  <conditionalFormatting sqref="H33">
    <cfRule type="expression" dxfId="2801" priority="2791" stopIfTrue="1">
      <formula>AND(NOT($C33=""),H33="")</formula>
    </cfRule>
    <cfRule type="expression" dxfId="2800" priority="2792" stopIfTrue="1">
      <formula>BA33="0"</formula>
    </cfRule>
  </conditionalFormatting>
  <conditionalFormatting sqref="I33">
    <cfRule type="expression" dxfId="2799" priority="2789" stopIfTrue="1">
      <formula>AND(NOT($C33=""),I33="")</formula>
    </cfRule>
    <cfRule type="expression" dxfId="2798" priority="2790" stopIfTrue="1">
      <formula>BF33="0"</formula>
    </cfRule>
  </conditionalFormatting>
  <conditionalFormatting sqref="J33">
    <cfRule type="expression" dxfId="2797" priority="2787" stopIfTrue="1">
      <formula>AND(NOT($C33=""),J33="")</formula>
    </cfRule>
    <cfRule type="expression" dxfId="2796" priority="2788" stopIfTrue="1">
      <formula>BK33="0"</formula>
    </cfRule>
  </conditionalFormatting>
  <conditionalFormatting sqref="K33">
    <cfRule type="expression" dxfId="2795" priority="2785" stopIfTrue="1">
      <formula>AND(NOT($C33=""),K33="")</formula>
    </cfRule>
    <cfRule type="expression" dxfId="2794" priority="2786" stopIfTrue="1">
      <formula>BP33="0"</formula>
    </cfRule>
  </conditionalFormatting>
  <conditionalFormatting sqref="L33">
    <cfRule type="expression" dxfId="2793" priority="2783" stopIfTrue="1">
      <formula>AND(NOT($C33=""),L33="")</formula>
    </cfRule>
    <cfRule type="expression" dxfId="2792" priority="2784" stopIfTrue="1">
      <formula>BU33="0"</formula>
    </cfRule>
  </conditionalFormatting>
  <conditionalFormatting sqref="N33">
    <cfRule type="expression" dxfId="2791" priority="2781" stopIfTrue="1">
      <formula>AND(NOT($C33=""),N33="")</formula>
    </cfRule>
    <cfRule type="expression" dxfId="2790" priority="2782" stopIfTrue="1">
      <formula>CE33="0"</formula>
    </cfRule>
  </conditionalFormatting>
  <conditionalFormatting sqref="M33">
    <cfRule type="expression" dxfId="2789" priority="2780" stopIfTrue="1">
      <formula>BZ33="0"</formula>
    </cfRule>
  </conditionalFormatting>
  <conditionalFormatting sqref="D33">
    <cfRule type="expression" dxfId="2788" priority="2778" stopIfTrue="1">
      <formula>AND(NOT($C33=""),D33="")</formula>
    </cfRule>
    <cfRule type="expression" dxfId="2787" priority="2779" stopIfTrue="1">
      <formula>AG33="0"</formula>
    </cfRule>
  </conditionalFormatting>
  <conditionalFormatting sqref="E33">
    <cfRule type="expression" dxfId="2786" priority="2776" stopIfTrue="1">
      <formula>AND(NOT($C33=""),E33="")</formula>
    </cfRule>
    <cfRule type="expression" dxfId="2785" priority="2777" stopIfTrue="1">
      <formula>AL33="0"</formula>
    </cfRule>
  </conditionalFormatting>
  <conditionalFormatting sqref="F33">
    <cfRule type="expression" dxfId="2784" priority="2774" stopIfTrue="1">
      <formula>AND(NOT($C33=""),F33="")</formula>
    </cfRule>
    <cfRule type="expression" dxfId="2783" priority="2775" stopIfTrue="1">
      <formula>AQ33="0"</formula>
    </cfRule>
  </conditionalFormatting>
  <conditionalFormatting sqref="G33">
    <cfRule type="expression" dxfId="2782" priority="2772" stopIfTrue="1">
      <formula>AND(NOT($C33=""),G33="")</formula>
    </cfRule>
    <cfRule type="expression" dxfId="2781" priority="2773" stopIfTrue="1">
      <formula>AV33="0"</formula>
    </cfRule>
  </conditionalFormatting>
  <conditionalFormatting sqref="H33">
    <cfRule type="expression" dxfId="2780" priority="2770" stopIfTrue="1">
      <formula>AND(NOT($C33=""),H33="")</formula>
    </cfRule>
    <cfRule type="expression" dxfId="2779" priority="2771" stopIfTrue="1">
      <formula>BA33="0"</formula>
    </cfRule>
  </conditionalFormatting>
  <conditionalFormatting sqref="I33">
    <cfRule type="expression" dxfId="2778" priority="2768" stopIfTrue="1">
      <formula>AND(NOT($C33=""),I33="")</formula>
    </cfRule>
    <cfRule type="expression" dxfId="2777" priority="2769" stopIfTrue="1">
      <formula>BF33="0"</formula>
    </cfRule>
  </conditionalFormatting>
  <conditionalFormatting sqref="J33">
    <cfRule type="expression" dxfId="2776" priority="2766" stopIfTrue="1">
      <formula>AND(NOT($C33=""),J33="")</formula>
    </cfRule>
    <cfRule type="expression" dxfId="2775" priority="2767" stopIfTrue="1">
      <formula>BK33="0"</formula>
    </cfRule>
  </conditionalFormatting>
  <conditionalFormatting sqref="K33">
    <cfRule type="expression" dxfId="2774" priority="2764" stopIfTrue="1">
      <formula>AND(NOT($C33=""),K33="")</formula>
    </cfRule>
    <cfRule type="expression" dxfId="2773" priority="2765" stopIfTrue="1">
      <formula>BP33="0"</formula>
    </cfRule>
  </conditionalFormatting>
  <conditionalFormatting sqref="L33">
    <cfRule type="expression" dxfId="2772" priority="2762" stopIfTrue="1">
      <formula>AND(NOT($C33=""),L33="")</formula>
    </cfRule>
    <cfRule type="expression" dxfId="2771" priority="2763" stopIfTrue="1">
      <formula>BU33="0"</formula>
    </cfRule>
  </conditionalFormatting>
  <conditionalFormatting sqref="N33">
    <cfRule type="expression" dxfId="2770" priority="2760" stopIfTrue="1">
      <formula>AND(NOT($C33=""),N33="")</formula>
    </cfRule>
    <cfRule type="expression" dxfId="2769" priority="2761" stopIfTrue="1">
      <formula>CE33="0"</formula>
    </cfRule>
  </conditionalFormatting>
  <conditionalFormatting sqref="M35">
    <cfRule type="expression" dxfId="2768" priority="2759" stopIfTrue="1">
      <formula>BZ35="0"</formula>
    </cfRule>
  </conditionalFormatting>
  <conditionalFormatting sqref="D35">
    <cfRule type="expression" dxfId="2767" priority="2757" stopIfTrue="1">
      <formula>AND(NOT($C35=""),D35="")</formula>
    </cfRule>
    <cfRule type="expression" dxfId="2766" priority="2758" stopIfTrue="1">
      <formula>AG35="0"</formula>
    </cfRule>
  </conditionalFormatting>
  <conditionalFormatting sqref="E35">
    <cfRule type="expression" dxfId="2765" priority="2755" stopIfTrue="1">
      <formula>AND(NOT($C35=""),E35="")</formula>
    </cfRule>
    <cfRule type="expression" dxfId="2764" priority="2756" stopIfTrue="1">
      <formula>AL35="0"</formula>
    </cfRule>
  </conditionalFormatting>
  <conditionalFormatting sqref="F35">
    <cfRule type="expression" dxfId="2763" priority="2753" stopIfTrue="1">
      <formula>AND(NOT($C35=""),F35="")</formula>
    </cfRule>
    <cfRule type="expression" dxfId="2762" priority="2754" stopIfTrue="1">
      <formula>AQ35="0"</formula>
    </cfRule>
  </conditionalFormatting>
  <conditionalFormatting sqref="G35">
    <cfRule type="expression" dxfId="2761" priority="2751" stopIfTrue="1">
      <formula>AND(NOT($C35=""),G35="")</formula>
    </cfRule>
    <cfRule type="expression" dxfId="2760" priority="2752" stopIfTrue="1">
      <formula>AV35="0"</formula>
    </cfRule>
  </conditionalFormatting>
  <conditionalFormatting sqref="H35">
    <cfRule type="expression" dxfId="2759" priority="2749" stopIfTrue="1">
      <formula>AND(NOT($C35=""),H35="")</formula>
    </cfRule>
    <cfRule type="expression" dxfId="2758" priority="2750" stopIfTrue="1">
      <formula>BA35="0"</formula>
    </cfRule>
  </conditionalFormatting>
  <conditionalFormatting sqref="I35">
    <cfRule type="expression" dxfId="2757" priority="2747" stopIfTrue="1">
      <formula>AND(NOT($C35=""),I35="")</formula>
    </cfRule>
    <cfRule type="expression" dxfId="2756" priority="2748" stopIfTrue="1">
      <formula>BF35="0"</formula>
    </cfRule>
  </conditionalFormatting>
  <conditionalFormatting sqref="J35">
    <cfRule type="expression" dxfId="2755" priority="2745" stopIfTrue="1">
      <formula>AND(NOT($C35=""),J35="")</formula>
    </cfRule>
    <cfRule type="expression" dxfId="2754" priority="2746" stopIfTrue="1">
      <formula>BK35="0"</formula>
    </cfRule>
  </conditionalFormatting>
  <conditionalFormatting sqref="K35">
    <cfRule type="expression" dxfId="2753" priority="2743" stopIfTrue="1">
      <formula>AND(NOT($C35=""),K35="")</formula>
    </cfRule>
    <cfRule type="expression" dxfId="2752" priority="2744" stopIfTrue="1">
      <formula>BP35="0"</formula>
    </cfRule>
  </conditionalFormatting>
  <conditionalFormatting sqref="L35">
    <cfRule type="expression" dxfId="2751" priority="2741" stopIfTrue="1">
      <formula>AND(NOT($C35=""),L35="")</formula>
    </cfRule>
    <cfRule type="expression" dxfId="2750" priority="2742" stopIfTrue="1">
      <formula>BU35="0"</formula>
    </cfRule>
  </conditionalFormatting>
  <conditionalFormatting sqref="N35">
    <cfRule type="expression" dxfId="2749" priority="2739" stopIfTrue="1">
      <formula>AND(NOT($C35=""),N35="")</formula>
    </cfRule>
    <cfRule type="expression" dxfId="2748" priority="2740" stopIfTrue="1">
      <formula>CE35="0"</formula>
    </cfRule>
  </conditionalFormatting>
  <conditionalFormatting sqref="M35">
    <cfRule type="expression" dxfId="2747" priority="2738" stopIfTrue="1">
      <formula>BZ35="0"</formula>
    </cfRule>
  </conditionalFormatting>
  <conditionalFormatting sqref="D35">
    <cfRule type="expression" dxfId="2746" priority="2736" stopIfTrue="1">
      <formula>AND(NOT($C35=""),D35="")</formula>
    </cfRule>
    <cfRule type="expression" dxfId="2745" priority="2737" stopIfTrue="1">
      <formula>AG35="0"</formula>
    </cfRule>
  </conditionalFormatting>
  <conditionalFormatting sqref="E35">
    <cfRule type="expression" dxfId="2744" priority="2734" stopIfTrue="1">
      <formula>AND(NOT($C35=""),E35="")</formula>
    </cfRule>
    <cfRule type="expression" dxfId="2743" priority="2735" stopIfTrue="1">
      <formula>AL35="0"</formula>
    </cfRule>
  </conditionalFormatting>
  <conditionalFormatting sqref="F35">
    <cfRule type="expression" dxfId="2742" priority="2732" stopIfTrue="1">
      <formula>AND(NOT($C35=""),F35="")</formula>
    </cfRule>
    <cfRule type="expression" dxfId="2741" priority="2733" stopIfTrue="1">
      <formula>AQ35="0"</formula>
    </cfRule>
  </conditionalFormatting>
  <conditionalFormatting sqref="G35">
    <cfRule type="expression" dxfId="2740" priority="2730" stopIfTrue="1">
      <formula>AND(NOT($C35=""),G35="")</formula>
    </cfRule>
    <cfRule type="expression" dxfId="2739" priority="2731" stopIfTrue="1">
      <formula>AV35="0"</formula>
    </cfRule>
  </conditionalFormatting>
  <conditionalFormatting sqref="H35">
    <cfRule type="expression" dxfId="2738" priority="2728" stopIfTrue="1">
      <formula>AND(NOT($C35=""),H35="")</formula>
    </cfRule>
    <cfRule type="expression" dxfId="2737" priority="2729" stopIfTrue="1">
      <formula>BA35="0"</formula>
    </cfRule>
  </conditionalFormatting>
  <conditionalFormatting sqref="I35">
    <cfRule type="expression" dxfId="2736" priority="2726" stopIfTrue="1">
      <formula>AND(NOT($C35=""),I35="")</formula>
    </cfRule>
    <cfRule type="expression" dxfId="2735" priority="2727" stopIfTrue="1">
      <formula>BF35="0"</formula>
    </cfRule>
  </conditionalFormatting>
  <conditionalFormatting sqref="J35">
    <cfRule type="expression" dxfId="2734" priority="2724" stopIfTrue="1">
      <formula>AND(NOT($C35=""),J35="")</formula>
    </cfRule>
    <cfRule type="expression" dxfId="2733" priority="2725" stopIfTrue="1">
      <formula>BK35="0"</formula>
    </cfRule>
  </conditionalFormatting>
  <conditionalFormatting sqref="K35">
    <cfRule type="expression" dxfId="2732" priority="2722" stopIfTrue="1">
      <formula>AND(NOT($C35=""),K35="")</formula>
    </cfRule>
    <cfRule type="expression" dxfId="2731" priority="2723" stopIfTrue="1">
      <formula>BP35="0"</formula>
    </cfRule>
  </conditionalFormatting>
  <conditionalFormatting sqref="L35">
    <cfRule type="expression" dxfId="2730" priority="2720" stopIfTrue="1">
      <formula>AND(NOT($C35=""),L35="")</formula>
    </cfRule>
    <cfRule type="expression" dxfId="2729" priority="2721" stopIfTrue="1">
      <formula>BU35="0"</formula>
    </cfRule>
  </conditionalFormatting>
  <conditionalFormatting sqref="N35">
    <cfRule type="expression" dxfId="2728" priority="2718" stopIfTrue="1">
      <formula>AND(NOT($C35=""),N35="")</formula>
    </cfRule>
    <cfRule type="expression" dxfId="2727" priority="2719" stopIfTrue="1">
      <formula>CE35="0"</formula>
    </cfRule>
  </conditionalFormatting>
  <conditionalFormatting sqref="M35">
    <cfRule type="expression" dxfId="2726" priority="2717" stopIfTrue="1">
      <formula>BZ35="0"</formula>
    </cfRule>
  </conditionalFormatting>
  <conditionalFormatting sqref="D35">
    <cfRule type="expression" dxfId="2725" priority="2715" stopIfTrue="1">
      <formula>AND(NOT($C35=""),D35="")</formula>
    </cfRule>
    <cfRule type="expression" dxfId="2724" priority="2716" stopIfTrue="1">
      <formula>AG35="0"</formula>
    </cfRule>
  </conditionalFormatting>
  <conditionalFormatting sqref="E35">
    <cfRule type="expression" dxfId="2723" priority="2713" stopIfTrue="1">
      <formula>AND(NOT($C35=""),E35="")</formula>
    </cfRule>
    <cfRule type="expression" dxfId="2722" priority="2714" stopIfTrue="1">
      <formula>AL35="0"</formula>
    </cfRule>
  </conditionalFormatting>
  <conditionalFormatting sqref="F35">
    <cfRule type="expression" dxfId="2721" priority="2711" stopIfTrue="1">
      <formula>AND(NOT($C35=""),F35="")</formula>
    </cfRule>
    <cfRule type="expression" dxfId="2720" priority="2712" stopIfTrue="1">
      <formula>AQ35="0"</formula>
    </cfRule>
  </conditionalFormatting>
  <conditionalFormatting sqref="G35">
    <cfRule type="expression" dxfId="2719" priority="2709" stopIfTrue="1">
      <formula>AND(NOT($C35=""),G35="")</formula>
    </cfRule>
    <cfRule type="expression" dxfId="2718" priority="2710" stopIfTrue="1">
      <formula>AV35="0"</formula>
    </cfRule>
  </conditionalFormatting>
  <conditionalFormatting sqref="H35">
    <cfRule type="expression" dxfId="2717" priority="2707" stopIfTrue="1">
      <formula>AND(NOT($C35=""),H35="")</formula>
    </cfRule>
    <cfRule type="expression" dxfId="2716" priority="2708" stopIfTrue="1">
      <formula>BA35="0"</formula>
    </cfRule>
  </conditionalFormatting>
  <conditionalFormatting sqref="I35">
    <cfRule type="expression" dxfId="2715" priority="2705" stopIfTrue="1">
      <formula>AND(NOT($C35=""),I35="")</formula>
    </cfRule>
    <cfRule type="expression" dxfId="2714" priority="2706" stopIfTrue="1">
      <formula>BF35="0"</formula>
    </cfRule>
  </conditionalFormatting>
  <conditionalFormatting sqref="J35">
    <cfRule type="expression" dxfId="2713" priority="2703" stopIfTrue="1">
      <formula>AND(NOT($C35=""),J35="")</formula>
    </cfRule>
    <cfRule type="expression" dxfId="2712" priority="2704" stopIfTrue="1">
      <formula>BK35="0"</formula>
    </cfRule>
  </conditionalFormatting>
  <conditionalFormatting sqref="K35">
    <cfRule type="expression" dxfId="2711" priority="2701" stopIfTrue="1">
      <formula>AND(NOT($C35=""),K35="")</formula>
    </cfRule>
    <cfRule type="expression" dxfId="2710" priority="2702" stopIfTrue="1">
      <formula>BP35="0"</formula>
    </cfRule>
  </conditionalFormatting>
  <conditionalFormatting sqref="L35">
    <cfRule type="expression" dxfId="2709" priority="2699" stopIfTrue="1">
      <formula>AND(NOT($C35=""),L35="")</formula>
    </cfRule>
    <cfRule type="expression" dxfId="2708" priority="2700" stopIfTrue="1">
      <formula>BU35="0"</formula>
    </cfRule>
  </conditionalFormatting>
  <conditionalFormatting sqref="N35">
    <cfRule type="expression" dxfId="2707" priority="2697" stopIfTrue="1">
      <formula>AND(NOT($C35=""),N35="")</formula>
    </cfRule>
    <cfRule type="expression" dxfId="2706" priority="2698" stopIfTrue="1">
      <formula>CE35="0"</formula>
    </cfRule>
  </conditionalFormatting>
  <conditionalFormatting sqref="M37">
    <cfRule type="expression" dxfId="2705" priority="2696" stopIfTrue="1">
      <formula>BZ37="0"</formula>
    </cfRule>
  </conditionalFormatting>
  <conditionalFormatting sqref="D37">
    <cfRule type="expression" dxfId="2704" priority="2694" stopIfTrue="1">
      <formula>AND(NOT($C37=""),D37="")</formula>
    </cfRule>
    <cfRule type="expression" dxfId="2703" priority="2695" stopIfTrue="1">
      <formula>AG37="0"</formula>
    </cfRule>
  </conditionalFormatting>
  <conditionalFormatting sqref="E37">
    <cfRule type="expression" dxfId="2702" priority="2692" stopIfTrue="1">
      <formula>AND(NOT($C37=""),E37="")</formula>
    </cfRule>
    <cfRule type="expression" dxfId="2701" priority="2693" stopIfTrue="1">
      <formula>AL37="0"</formula>
    </cfRule>
  </conditionalFormatting>
  <conditionalFormatting sqref="F37">
    <cfRule type="expression" dxfId="2700" priority="2690" stopIfTrue="1">
      <formula>AND(NOT($C37=""),F37="")</formula>
    </cfRule>
    <cfRule type="expression" dxfId="2699" priority="2691" stopIfTrue="1">
      <formula>AQ37="0"</formula>
    </cfRule>
  </conditionalFormatting>
  <conditionalFormatting sqref="G37">
    <cfRule type="expression" dxfId="2698" priority="2688" stopIfTrue="1">
      <formula>AND(NOT($C37=""),G37="")</formula>
    </cfRule>
    <cfRule type="expression" dxfId="2697" priority="2689" stopIfTrue="1">
      <formula>AV37="0"</formula>
    </cfRule>
  </conditionalFormatting>
  <conditionalFormatting sqref="H37">
    <cfRule type="expression" dxfId="2696" priority="2686" stopIfTrue="1">
      <formula>AND(NOT($C37=""),H37="")</formula>
    </cfRule>
    <cfRule type="expression" dxfId="2695" priority="2687" stopIfTrue="1">
      <formula>BA37="0"</formula>
    </cfRule>
  </conditionalFormatting>
  <conditionalFormatting sqref="I37">
    <cfRule type="expression" dxfId="2694" priority="2684" stopIfTrue="1">
      <formula>AND(NOT($C37=""),I37="")</formula>
    </cfRule>
    <cfRule type="expression" dxfId="2693" priority="2685" stopIfTrue="1">
      <formula>BF37="0"</formula>
    </cfRule>
  </conditionalFormatting>
  <conditionalFormatting sqref="J37">
    <cfRule type="expression" dxfId="2692" priority="2682" stopIfTrue="1">
      <formula>AND(NOT($C37=""),J37="")</formula>
    </cfRule>
    <cfRule type="expression" dxfId="2691" priority="2683" stopIfTrue="1">
      <formula>BK37="0"</formula>
    </cfRule>
  </conditionalFormatting>
  <conditionalFormatting sqref="K37">
    <cfRule type="expression" dxfId="2690" priority="2680" stopIfTrue="1">
      <formula>AND(NOT($C37=""),K37="")</formula>
    </cfRule>
    <cfRule type="expression" dxfId="2689" priority="2681" stopIfTrue="1">
      <formula>BP37="0"</formula>
    </cfRule>
  </conditionalFormatting>
  <conditionalFormatting sqref="L37">
    <cfRule type="expression" dxfId="2688" priority="2678" stopIfTrue="1">
      <formula>AND(NOT($C37=""),L37="")</formula>
    </cfRule>
    <cfRule type="expression" dxfId="2687" priority="2679" stopIfTrue="1">
      <formula>BU37="0"</formula>
    </cfRule>
  </conditionalFormatting>
  <conditionalFormatting sqref="N37">
    <cfRule type="expression" dxfId="2686" priority="2676" stopIfTrue="1">
      <formula>AND(NOT($C37=""),N37="")</formula>
    </cfRule>
    <cfRule type="expression" dxfId="2685" priority="2677" stopIfTrue="1">
      <formula>CE37="0"</formula>
    </cfRule>
  </conditionalFormatting>
  <conditionalFormatting sqref="M37">
    <cfRule type="expression" dxfId="2684" priority="2675" stopIfTrue="1">
      <formula>BZ37="0"</formula>
    </cfRule>
  </conditionalFormatting>
  <conditionalFormatting sqref="D37">
    <cfRule type="expression" dxfId="2683" priority="2673" stopIfTrue="1">
      <formula>AND(NOT($C37=""),D37="")</formula>
    </cfRule>
    <cfRule type="expression" dxfId="2682" priority="2674" stopIfTrue="1">
      <formula>AG37="0"</formula>
    </cfRule>
  </conditionalFormatting>
  <conditionalFormatting sqref="E37">
    <cfRule type="expression" dxfId="2681" priority="2671" stopIfTrue="1">
      <formula>AND(NOT($C37=""),E37="")</formula>
    </cfRule>
    <cfRule type="expression" dxfId="2680" priority="2672" stopIfTrue="1">
      <formula>AL37="0"</formula>
    </cfRule>
  </conditionalFormatting>
  <conditionalFormatting sqref="F37">
    <cfRule type="expression" dxfId="2679" priority="2669" stopIfTrue="1">
      <formula>AND(NOT($C37=""),F37="")</formula>
    </cfRule>
    <cfRule type="expression" dxfId="2678" priority="2670" stopIfTrue="1">
      <formula>AQ37="0"</formula>
    </cfRule>
  </conditionalFormatting>
  <conditionalFormatting sqref="G37">
    <cfRule type="expression" dxfId="2677" priority="2667" stopIfTrue="1">
      <formula>AND(NOT($C37=""),G37="")</formula>
    </cfRule>
    <cfRule type="expression" dxfId="2676" priority="2668" stopIfTrue="1">
      <formula>AV37="0"</formula>
    </cfRule>
  </conditionalFormatting>
  <conditionalFormatting sqref="H37">
    <cfRule type="expression" dxfId="2675" priority="2665" stopIfTrue="1">
      <formula>AND(NOT($C37=""),H37="")</formula>
    </cfRule>
    <cfRule type="expression" dxfId="2674" priority="2666" stopIfTrue="1">
      <formula>BA37="0"</formula>
    </cfRule>
  </conditionalFormatting>
  <conditionalFormatting sqref="I37">
    <cfRule type="expression" dxfId="2673" priority="2663" stopIfTrue="1">
      <formula>AND(NOT($C37=""),I37="")</formula>
    </cfRule>
    <cfRule type="expression" dxfId="2672" priority="2664" stopIfTrue="1">
      <formula>BF37="0"</formula>
    </cfRule>
  </conditionalFormatting>
  <conditionalFormatting sqref="J37">
    <cfRule type="expression" dxfId="2671" priority="2661" stopIfTrue="1">
      <formula>AND(NOT($C37=""),J37="")</formula>
    </cfRule>
    <cfRule type="expression" dxfId="2670" priority="2662" stopIfTrue="1">
      <formula>BK37="0"</formula>
    </cfRule>
  </conditionalFormatting>
  <conditionalFormatting sqref="K37">
    <cfRule type="expression" dxfId="2669" priority="2659" stopIfTrue="1">
      <formula>AND(NOT($C37=""),K37="")</formula>
    </cfRule>
    <cfRule type="expression" dxfId="2668" priority="2660" stopIfTrue="1">
      <formula>BP37="0"</formula>
    </cfRule>
  </conditionalFormatting>
  <conditionalFormatting sqref="L37">
    <cfRule type="expression" dxfId="2667" priority="2657" stopIfTrue="1">
      <formula>AND(NOT($C37=""),L37="")</formula>
    </cfRule>
    <cfRule type="expression" dxfId="2666" priority="2658" stopIfTrue="1">
      <formula>BU37="0"</formula>
    </cfRule>
  </conditionalFormatting>
  <conditionalFormatting sqref="N37">
    <cfRule type="expression" dxfId="2665" priority="2655" stopIfTrue="1">
      <formula>AND(NOT($C37=""),N37="")</formula>
    </cfRule>
    <cfRule type="expression" dxfId="2664" priority="2656" stopIfTrue="1">
      <formula>CE37="0"</formula>
    </cfRule>
  </conditionalFormatting>
  <conditionalFormatting sqref="M37">
    <cfRule type="expression" dxfId="2663" priority="2654" stopIfTrue="1">
      <formula>BZ37="0"</formula>
    </cfRule>
  </conditionalFormatting>
  <conditionalFormatting sqref="D37">
    <cfRule type="expression" dxfId="2662" priority="2652" stopIfTrue="1">
      <formula>AND(NOT($C37=""),D37="")</formula>
    </cfRule>
    <cfRule type="expression" dxfId="2661" priority="2653" stopIfTrue="1">
      <formula>AG37="0"</formula>
    </cfRule>
  </conditionalFormatting>
  <conditionalFormatting sqref="E37">
    <cfRule type="expression" dxfId="2660" priority="2650" stopIfTrue="1">
      <formula>AND(NOT($C37=""),E37="")</formula>
    </cfRule>
    <cfRule type="expression" dxfId="2659" priority="2651" stopIfTrue="1">
      <formula>AL37="0"</formula>
    </cfRule>
  </conditionalFormatting>
  <conditionalFormatting sqref="F37">
    <cfRule type="expression" dxfId="2658" priority="2648" stopIfTrue="1">
      <formula>AND(NOT($C37=""),F37="")</formula>
    </cfRule>
    <cfRule type="expression" dxfId="2657" priority="2649" stopIfTrue="1">
      <formula>AQ37="0"</formula>
    </cfRule>
  </conditionalFormatting>
  <conditionalFormatting sqref="G37">
    <cfRule type="expression" dxfId="2656" priority="2646" stopIfTrue="1">
      <formula>AND(NOT($C37=""),G37="")</formula>
    </cfRule>
    <cfRule type="expression" dxfId="2655" priority="2647" stopIfTrue="1">
      <formula>AV37="0"</formula>
    </cfRule>
  </conditionalFormatting>
  <conditionalFormatting sqref="H37">
    <cfRule type="expression" dxfId="2654" priority="2644" stopIfTrue="1">
      <formula>AND(NOT($C37=""),H37="")</formula>
    </cfRule>
    <cfRule type="expression" dxfId="2653" priority="2645" stopIfTrue="1">
      <formula>BA37="0"</formula>
    </cfRule>
  </conditionalFormatting>
  <conditionalFormatting sqref="I37">
    <cfRule type="expression" dxfId="2652" priority="2642" stopIfTrue="1">
      <formula>AND(NOT($C37=""),I37="")</formula>
    </cfRule>
    <cfRule type="expression" dxfId="2651" priority="2643" stopIfTrue="1">
      <formula>BF37="0"</formula>
    </cfRule>
  </conditionalFormatting>
  <conditionalFormatting sqref="J37">
    <cfRule type="expression" dxfId="2650" priority="2640" stopIfTrue="1">
      <formula>AND(NOT($C37=""),J37="")</formula>
    </cfRule>
    <cfRule type="expression" dxfId="2649" priority="2641" stopIfTrue="1">
      <formula>BK37="0"</formula>
    </cfRule>
  </conditionalFormatting>
  <conditionalFormatting sqref="K37">
    <cfRule type="expression" dxfId="2648" priority="2638" stopIfTrue="1">
      <formula>AND(NOT($C37=""),K37="")</formula>
    </cfRule>
    <cfRule type="expression" dxfId="2647" priority="2639" stopIfTrue="1">
      <formula>BP37="0"</formula>
    </cfRule>
  </conditionalFormatting>
  <conditionalFormatting sqref="L37">
    <cfRule type="expression" dxfId="2646" priority="2636" stopIfTrue="1">
      <formula>AND(NOT($C37=""),L37="")</formula>
    </cfRule>
    <cfRule type="expression" dxfId="2645" priority="2637" stopIfTrue="1">
      <formula>BU37="0"</formula>
    </cfRule>
  </conditionalFormatting>
  <conditionalFormatting sqref="N37">
    <cfRule type="expression" dxfId="2644" priority="2634" stopIfTrue="1">
      <formula>AND(NOT($C37=""),N37="")</formula>
    </cfRule>
    <cfRule type="expression" dxfId="2643" priority="2635" stopIfTrue="1">
      <formula>CE37="0"</formula>
    </cfRule>
  </conditionalFormatting>
  <conditionalFormatting sqref="M39">
    <cfRule type="expression" dxfId="2642" priority="2633" stopIfTrue="1">
      <formula>BZ39="0"</formula>
    </cfRule>
  </conditionalFormatting>
  <conditionalFormatting sqref="D39">
    <cfRule type="expression" dxfId="2641" priority="2631" stopIfTrue="1">
      <formula>AND(NOT($C39=""),D39="")</formula>
    </cfRule>
    <cfRule type="expression" dxfId="2640" priority="2632" stopIfTrue="1">
      <formula>AG39="0"</formula>
    </cfRule>
  </conditionalFormatting>
  <conditionalFormatting sqref="E39">
    <cfRule type="expression" dxfId="2639" priority="2629" stopIfTrue="1">
      <formula>AND(NOT($C39=""),E39="")</formula>
    </cfRule>
    <cfRule type="expression" dxfId="2638" priority="2630" stopIfTrue="1">
      <formula>AL39="0"</formula>
    </cfRule>
  </conditionalFormatting>
  <conditionalFormatting sqref="F39">
    <cfRule type="expression" dxfId="2637" priority="2627" stopIfTrue="1">
      <formula>AND(NOT($C39=""),F39="")</formula>
    </cfRule>
    <cfRule type="expression" dxfId="2636" priority="2628" stopIfTrue="1">
      <formula>AQ39="0"</formula>
    </cfRule>
  </conditionalFormatting>
  <conditionalFormatting sqref="G39">
    <cfRule type="expression" dxfId="2635" priority="2625" stopIfTrue="1">
      <formula>AND(NOT($C39=""),G39="")</formula>
    </cfRule>
    <cfRule type="expression" dxfId="2634" priority="2626" stopIfTrue="1">
      <formula>AV39="0"</formula>
    </cfRule>
  </conditionalFormatting>
  <conditionalFormatting sqref="H39">
    <cfRule type="expression" dxfId="2633" priority="2623" stopIfTrue="1">
      <formula>AND(NOT($C39=""),H39="")</formula>
    </cfRule>
    <cfRule type="expression" dxfId="2632" priority="2624" stopIfTrue="1">
      <formula>BA39="0"</formula>
    </cfRule>
  </conditionalFormatting>
  <conditionalFormatting sqref="I39">
    <cfRule type="expression" dxfId="2631" priority="2621" stopIfTrue="1">
      <formula>AND(NOT($C39=""),I39="")</formula>
    </cfRule>
    <cfRule type="expression" dxfId="2630" priority="2622" stopIfTrue="1">
      <formula>BF39="0"</formula>
    </cfRule>
  </conditionalFormatting>
  <conditionalFormatting sqref="J39">
    <cfRule type="expression" dxfId="2629" priority="2619" stopIfTrue="1">
      <formula>AND(NOT($C39=""),J39="")</formula>
    </cfRule>
    <cfRule type="expression" dxfId="2628" priority="2620" stopIfTrue="1">
      <formula>BK39="0"</formula>
    </cfRule>
  </conditionalFormatting>
  <conditionalFormatting sqref="K39">
    <cfRule type="expression" dxfId="2627" priority="2617" stopIfTrue="1">
      <formula>AND(NOT($C39=""),K39="")</formula>
    </cfRule>
    <cfRule type="expression" dxfId="2626" priority="2618" stopIfTrue="1">
      <formula>BP39="0"</formula>
    </cfRule>
  </conditionalFormatting>
  <conditionalFormatting sqref="L39">
    <cfRule type="expression" dxfId="2625" priority="2615" stopIfTrue="1">
      <formula>AND(NOT($C39=""),L39="")</formula>
    </cfRule>
    <cfRule type="expression" dxfId="2624" priority="2616" stopIfTrue="1">
      <formula>BU39="0"</formula>
    </cfRule>
  </conditionalFormatting>
  <conditionalFormatting sqref="N39">
    <cfRule type="expression" dxfId="2623" priority="2613" stopIfTrue="1">
      <formula>AND(NOT($C39=""),N39="")</formula>
    </cfRule>
    <cfRule type="expression" dxfId="2622" priority="2614" stopIfTrue="1">
      <formula>CE39="0"</formula>
    </cfRule>
  </conditionalFormatting>
  <conditionalFormatting sqref="M39">
    <cfRule type="expression" dxfId="2621" priority="2612" stopIfTrue="1">
      <formula>BZ39="0"</formula>
    </cfRule>
  </conditionalFormatting>
  <conditionalFormatting sqref="D39">
    <cfRule type="expression" dxfId="2620" priority="2610" stopIfTrue="1">
      <formula>AND(NOT($C39=""),D39="")</formula>
    </cfRule>
    <cfRule type="expression" dxfId="2619" priority="2611" stopIfTrue="1">
      <formula>AG39="0"</formula>
    </cfRule>
  </conditionalFormatting>
  <conditionalFormatting sqref="E39">
    <cfRule type="expression" dxfId="2618" priority="2608" stopIfTrue="1">
      <formula>AND(NOT($C39=""),E39="")</formula>
    </cfRule>
    <cfRule type="expression" dxfId="2617" priority="2609" stopIfTrue="1">
      <formula>AL39="0"</formula>
    </cfRule>
  </conditionalFormatting>
  <conditionalFormatting sqref="F39">
    <cfRule type="expression" dxfId="2616" priority="2606" stopIfTrue="1">
      <formula>AND(NOT($C39=""),F39="")</formula>
    </cfRule>
    <cfRule type="expression" dxfId="2615" priority="2607" stopIfTrue="1">
      <formula>AQ39="0"</formula>
    </cfRule>
  </conditionalFormatting>
  <conditionalFormatting sqref="G39">
    <cfRule type="expression" dxfId="2614" priority="2604" stopIfTrue="1">
      <formula>AND(NOT($C39=""),G39="")</formula>
    </cfRule>
    <cfRule type="expression" dxfId="2613" priority="2605" stopIfTrue="1">
      <formula>AV39="0"</formula>
    </cfRule>
  </conditionalFormatting>
  <conditionalFormatting sqref="H39">
    <cfRule type="expression" dxfId="2612" priority="2602" stopIfTrue="1">
      <formula>AND(NOT($C39=""),H39="")</formula>
    </cfRule>
    <cfRule type="expression" dxfId="2611" priority="2603" stopIfTrue="1">
      <formula>BA39="0"</formula>
    </cfRule>
  </conditionalFormatting>
  <conditionalFormatting sqref="I39">
    <cfRule type="expression" dxfId="2610" priority="2600" stopIfTrue="1">
      <formula>AND(NOT($C39=""),I39="")</formula>
    </cfRule>
    <cfRule type="expression" dxfId="2609" priority="2601" stopIfTrue="1">
      <formula>BF39="0"</formula>
    </cfRule>
  </conditionalFormatting>
  <conditionalFormatting sqref="J39">
    <cfRule type="expression" dxfId="2608" priority="2598" stopIfTrue="1">
      <formula>AND(NOT($C39=""),J39="")</formula>
    </cfRule>
    <cfRule type="expression" dxfId="2607" priority="2599" stopIfTrue="1">
      <formula>BK39="0"</formula>
    </cfRule>
  </conditionalFormatting>
  <conditionalFormatting sqref="K39">
    <cfRule type="expression" dxfId="2606" priority="2596" stopIfTrue="1">
      <formula>AND(NOT($C39=""),K39="")</formula>
    </cfRule>
    <cfRule type="expression" dxfId="2605" priority="2597" stopIfTrue="1">
      <formula>BP39="0"</formula>
    </cfRule>
  </conditionalFormatting>
  <conditionalFormatting sqref="L39">
    <cfRule type="expression" dxfId="2604" priority="2594" stopIfTrue="1">
      <formula>AND(NOT($C39=""),L39="")</formula>
    </cfRule>
    <cfRule type="expression" dxfId="2603" priority="2595" stopIfTrue="1">
      <formula>BU39="0"</formula>
    </cfRule>
  </conditionalFormatting>
  <conditionalFormatting sqref="N39">
    <cfRule type="expression" dxfId="2602" priority="2592" stopIfTrue="1">
      <formula>AND(NOT($C39=""),N39="")</formula>
    </cfRule>
    <cfRule type="expression" dxfId="2601" priority="2593" stopIfTrue="1">
      <formula>CE39="0"</formula>
    </cfRule>
  </conditionalFormatting>
  <conditionalFormatting sqref="M39">
    <cfRule type="expression" dxfId="2600" priority="2591" stopIfTrue="1">
      <formula>BZ39="0"</formula>
    </cfRule>
  </conditionalFormatting>
  <conditionalFormatting sqref="D39">
    <cfRule type="expression" dxfId="2599" priority="2589" stopIfTrue="1">
      <formula>AND(NOT($C39=""),D39="")</formula>
    </cfRule>
    <cfRule type="expression" dxfId="2598" priority="2590" stopIfTrue="1">
      <formula>AG39="0"</formula>
    </cfRule>
  </conditionalFormatting>
  <conditionalFormatting sqref="E39">
    <cfRule type="expression" dxfId="2597" priority="2587" stopIfTrue="1">
      <formula>AND(NOT($C39=""),E39="")</formula>
    </cfRule>
    <cfRule type="expression" dxfId="2596" priority="2588" stopIfTrue="1">
      <formula>AL39="0"</formula>
    </cfRule>
  </conditionalFormatting>
  <conditionalFormatting sqref="F39">
    <cfRule type="expression" dxfId="2595" priority="2585" stopIfTrue="1">
      <formula>AND(NOT($C39=""),F39="")</formula>
    </cfRule>
    <cfRule type="expression" dxfId="2594" priority="2586" stopIfTrue="1">
      <formula>AQ39="0"</formula>
    </cfRule>
  </conditionalFormatting>
  <conditionalFormatting sqref="G39">
    <cfRule type="expression" dxfId="2593" priority="2583" stopIfTrue="1">
      <formula>AND(NOT($C39=""),G39="")</formula>
    </cfRule>
    <cfRule type="expression" dxfId="2592" priority="2584" stopIfTrue="1">
      <formula>AV39="0"</formula>
    </cfRule>
  </conditionalFormatting>
  <conditionalFormatting sqref="H39">
    <cfRule type="expression" dxfId="2591" priority="2581" stopIfTrue="1">
      <formula>AND(NOT($C39=""),H39="")</formula>
    </cfRule>
    <cfRule type="expression" dxfId="2590" priority="2582" stopIfTrue="1">
      <formula>BA39="0"</formula>
    </cfRule>
  </conditionalFormatting>
  <conditionalFormatting sqref="I39">
    <cfRule type="expression" dxfId="2589" priority="2579" stopIfTrue="1">
      <formula>AND(NOT($C39=""),I39="")</formula>
    </cfRule>
    <cfRule type="expression" dxfId="2588" priority="2580" stopIfTrue="1">
      <formula>BF39="0"</formula>
    </cfRule>
  </conditionalFormatting>
  <conditionalFormatting sqref="J39">
    <cfRule type="expression" dxfId="2587" priority="2577" stopIfTrue="1">
      <formula>AND(NOT($C39=""),J39="")</formula>
    </cfRule>
    <cfRule type="expression" dxfId="2586" priority="2578" stopIfTrue="1">
      <formula>BK39="0"</formula>
    </cfRule>
  </conditionalFormatting>
  <conditionalFormatting sqref="K39">
    <cfRule type="expression" dxfId="2585" priority="2575" stopIfTrue="1">
      <formula>AND(NOT($C39=""),K39="")</formula>
    </cfRule>
    <cfRule type="expression" dxfId="2584" priority="2576" stopIfTrue="1">
      <formula>BP39="0"</formula>
    </cfRule>
  </conditionalFormatting>
  <conditionalFormatting sqref="L39">
    <cfRule type="expression" dxfId="2583" priority="2573" stopIfTrue="1">
      <formula>AND(NOT($C39=""),L39="")</formula>
    </cfRule>
    <cfRule type="expression" dxfId="2582" priority="2574" stopIfTrue="1">
      <formula>BU39="0"</formula>
    </cfRule>
  </conditionalFormatting>
  <conditionalFormatting sqref="N39">
    <cfRule type="expression" dxfId="2581" priority="2571" stopIfTrue="1">
      <formula>AND(NOT($C39=""),N39="")</formula>
    </cfRule>
    <cfRule type="expression" dxfId="2580" priority="2572" stopIfTrue="1">
      <formula>CE39="0"</formula>
    </cfRule>
  </conditionalFormatting>
  <conditionalFormatting sqref="M31">
    <cfRule type="expression" dxfId="2579" priority="2570" stopIfTrue="1">
      <formula>BZ31="0"</formula>
    </cfRule>
  </conditionalFormatting>
  <conditionalFormatting sqref="D31">
    <cfRule type="expression" dxfId="2578" priority="2568" stopIfTrue="1">
      <formula>AND(NOT($C31=""),D31="")</formula>
    </cfRule>
    <cfRule type="expression" dxfId="2577" priority="2569" stopIfTrue="1">
      <formula>AG31="0"</formula>
    </cfRule>
  </conditionalFormatting>
  <conditionalFormatting sqref="E31">
    <cfRule type="expression" dxfId="2576" priority="2566" stopIfTrue="1">
      <formula>AND(NOT($C31=""),E31="")</formula>
    </cfRule>
    <cfRule type="expression" dxfId="2575" priority="2567" stopIfTrue="1">
      <formula>AL31="0"</formula>
    </cfRule>
  </conditionalFormatting>
  <conditionalFormatting sqref="F31">
    <cfRule type="expression" dxfId="2574" priority="2564" stopIfTrue="1">
      <formula>AND(NOT($C31=""),F31="")</formula>
    </cfRule>
    <cfRule type="expression" dxfId="2573" priority="2565" stopIfTrue="1">
      <formula>AQ31="0"</formula>
    </cfRule>
  </conditionalFormatting>
  <conditionalFormatting sqref="G31">
    <cfRule type="expression" dxfId="2572" priority="2562" stopIfTrue="1">
      <formula>AND(NOT($C31=""),G31="")</formula>
    </cfRule>
    <cfRule type="expression" dxfId="2571" priority="2563" stopIfTrue="1">
      <formula>AV31="0"</formula>
    </cfRule>
  </conditionalFormatting>
  <conditionalFormatting sqref="H31">
    <cfRule type="expression" dxfId="2570" priority="2560" stopIfTrue="1">
      <formula>AND(NOT($C31=""),H31="")</formula>
    </cfRule>
    <cfRule type="expression" dxfId="2569" priority="2561" stopIfTrue="1">
      <formula>BA31="0"</formula>
    </cfRule>
  </conditionalFormatting>
  <conditionalFormatting sqref="I31">
    <cfRule type="expression" dxfId="2568" priority="2558" stopIfTrue="1">
      <formula>AND(NOT($C31=""),I31="")</formula>
    </cfRule>
    <cfRule type="expression" dxfId="2567" priority="2559" stopIfTrue="1">
      <formula>BF31="0"</formula>
    </cfRule>
  </conditionalFormatting>
  <conditionalFormatting sqref="J31">
    <cfRule type="expression" dxfId="2566" priority="2556" stopIfTrue="1">
      <formula>AND(NOT($C31=""),J31="")</formula>
    </cfRule>
    <cfRule type="expression" dxfId="2565" priority="2557" stopIfTrue="1">
      <formula>BK31="0"</formula>
    </cfRule>
  </conditionalFormatting>
  <conditionalFormatting sqref="K31">
    <cfRule type="expression" dxfId="2564" priority="2554" stopIfTrue="1">
      <formula>AND(NOT($C31=""),K31="")</formula>
    </cfRule>
    <cfRule type="expression" dxfId="2563" priority="2555" stopIfTrue="1">
      <formula>BP31="0"</formula>
    </cfRule>
  </conditionalFormatting>
  <conditionalFormatting sqref="L31">
    <cfRule type="expression" dxfId="2562" priority="2552" stopIfTrue="1">
      <formula>AND(NOT($C31=""),L31="")</formula>
    </cfRule>
    <cfRule type="expression" dxfId="2561" priority="2553" stopIfTrue="1">
      <formula>BU31="0"</formula>
    </cfRule>
  </conditionalFormatting>
  <conditionalFormatting sqref="N31">
    <cfRule type="expression" dxfId="2560" priority="2550" stopIfTrue="1">
      <formula>AND(NOT($C31=""),N31="")</formula>
    </cfRule>
    <cfRule type="expression" dxfId="2559" priority="2551" stopIfTrue="1">
      <formula>CE31="0"</formula>
    </cfRule>
  </conditionalFormatting>
  <conditionalFormatting sqref="M31">
    <cfRule type="expression" dxfId="2558" priority="2549" stopIfTrue="1">
      <formula>BZ31="0"</formula>
    </cfRule>
  </conditionalFormatting>
  <conditionalFormatting sqref="E31">
    <cfRule type="expression" dxfId="2557" priority="2547" stopIfTrue="1">
      <formula>AND(NOT($C31=""),E31="")</formula>
    </cfRule>
    <cfRule type="expression" dxfId="2556" priority="2548" stopIfTrue="1">
      <formula>AL31="0"</formula>
    </cfRule>
  </conditionalFormatting>
  <conditionalFormatting sqref="F31">
    <cfRule type="expression" dxfId="2555" priority="2545" stopIfTrue="1">
      <formula>AND(NOT($C31=""),F31="")</formula>
    </cfRule>
    <cfRule type="expression" dxfId="2554" priority="2546" stopIfTrue="1">
      <formula>AQ31="0"</formula>
    </cfRule>
  </conditionalFormatting>
  <conditionalFormatting sqref="G31">
    <cfRule type="expression" dxfId="2553" priority="2543" stopIfTrue="1">
      <formula>AND(NOT($C31=""),G31="")</formula>
    </cfRule>
    <cfRule type="expression" dxfId="2552" priority="2544" stopIfTrue="1">
      <formula>AV31="0"</formula>
    </cfRule>
  </conditionalFormatting>
  <conditionalFormatting sqref="H31">
    <cfRule type="expression" dxfId="2551" priority="2541" stopIfTrue="1">
      <formula>AND(NOT($C31=""),H31="")</formula>
    </cfRule>
    <cfRule type="expression" dxfId="2550" priority="2542" stopIfTrue="1">
      <formula>BA31="0"</formula>
    </cfRule>
  </conditionalFormatting>
  <conditionalFormatting sqref="I31">
    <cfRule type="expression" dxfId="2549" priority="2539" stopIfTrue="1">
      <formula>AND(NOT($C31=""),I31="")</formula>
    </cfRule>
    <cfRule type="expression" dxfId="2548" priority="2540" stopIfTrue="1">
      <formula>BF31="0"</formula>
    </cfRule>
  </conditionalFormatting>
  <conditionalFormatting sqref="J31">
    <cfRule type="expression" dxfId="2547" priority="2537" stopIfTrue="1">
      <formula>AND(NOT($C31=""),J31="")</formula>
    </cfRule>
    <cfRule type="expression" dxfId="2546" priority="2538" stopIfTrue="1">
      <formula>BK31="0"</formula>
    </cfRule>
  </conditionalFormatting>
  <conditionalFormatting sqref="K31">
    <cfRule type="expression" dxfId="2545" priority="2535" stopIfTrue="1">
      <formula>AND(NOT($C31=""),K31="")</formula>
    </cfRule>
    <cfRule type="expression" dxfId="2544" priority="2536" stopIfTrue="1">
      <formula>BP31="0"</formula>
    </cfRule>
  </conditionalFormatting>
  <conditionalFormatting sqref="L31">
    <cfRule type="expression" dxfId="2543" priority="2533" stopIfTrue="1">
      <formula>AND(NOT($C31=""),L31="")</formula>
    </cfRule>
    <cfRule type="expression" dxfId="2542" priority="2534" stopIfTrue="1">
      <formula>BU31="0"</formula>
    </cfRule>
  </conditionalFormatting>
  <conditionalFormatting sqref="N31">
    <cfRule type="expression" dxfId="2541" priority="2531" stopIfTrue="1">
      <formula>AND(NOT($C31=""),N31="")</formula>
    </cfRule>
    <cfRule type="expression" dxfId="2540" priority="2532" stopIfTrue="1">
      <formula>CE31="0"</formula>
    </cfRule>
  </conditionalFormatting>
  <conditionalFormatting sqref="M29">
    <cfRule type="expression" dxfId="2539" priority="2530" stopIfTrue="1">
      <formula>BZ29="0"</formula>
    </cfRule>
  </conditionalFormatting>
  <conditionalFormatting sqref="D29">
    <cfRule type="expression" dxfId="2538" priority="2528" stopIfTrue="1">
      <formula>AND(NOT($C29=""),D29="")</formula>
    </cfRule>
    <cfRule type="expression" dxfId="2537" priority="2529" stopIfTrue="1">
      <formula>AG29="0"</formula>
    </cfRule>
  </conditionalFormatting>
  <conditionalFormatting sqref="E29">
    <cfRule type="expression" dxfId="2536" priority="2526" stopIfTrue="1">
      <formula>AND(NOT($C29=""),E29="")</formula>
    </cfRule>
    <cfRule type="expression" dxfId="2535" priority="2527" stopIfTrue="1">
      <formula>AL29="0"</formula>
    </cfRule>
  </conditionalFormatting>
  <conditionalFormatting sqref="F29">
    <cfRule type="expression" dxfId="2534" priority="2524" stopIfTrue="1">
      <formula>AND(NOT($C29=""),F29="")</formula>
    </cfRule>
    <cfRule type="expression" dxfId="2533" priority="2525" stopIfTrue="1">
      <formula>AQ29="0"</formula>
    </cfRule>
  </conditionalFormatting>
  <conditionalFormatting sqref="G29">
    <cfRule type="expression" dxfId="2532" priority="2522" stopIfTrue="1">
      <formula>AND(NOT($C29=""),G29="")</formula>
    </cfRule>
    <cfRule type="expression" dxfId="2531" priority="2523" stopIfTrue="1">
      <formula>AV29="0"</formula>
    </cfRule>
  </conditionalFormatting>
  <conditionalFormatting sqref="H29">
    <cfRule type="expression" dxfId="2530" priority="2520" stopIfTrue="1">
      <formula>AND(NOT($C29=""),H29="")</formula>
    </cfRule>
    <cfRule type="expression" dxfId="2529" priority="2521" stopIfTrue="1">
      <formula>BA29="0"</formula>
    </cfRule>
  </conditionalFormatting>
  <conditionalFormatting sqref="I29">
    <cfRule type="expression" dxfId="2528" priority="2518" stopIfTrue="1">
      <formula>AND(NOT($C29=""),I29="")</formula>
    </cfRule>
    <cfRule type="expression" dxfId="2527" priority="2519" stopIfTrue="1">
      <formula>BF29="0"</formula>
    </cfRule>
  </conditionalFormatting>
  <conditionalFormatting sqref="J29">
    <cfRule type="expression" dxfId="2526" priority="2516" stopIfTrue="1">
      <formula>AND(NOT($C29=""),J29="")</formula>
    </cfRule>
    <cfRule type="expression" dxfId="2525" priority="2517" stopIfTrue="1">
      <formula>BK29="0"</formula>
    </cfRule>
  </conditionalFormatting>
  <conditionalFormatting sqref="K29">
    <cfRule type="expression" dxfId="2524" priority="2514" stopIfTrue="1">
      <formula>AND(NOT($C29=""),K29="")</formula>
    </cfRule>
    <cfRule type="expression" dxfId="2523" priority="2515" stopIfTrue="1">
      <formula>BP29="0"</formula>
    </cfRule>
  </conditionalFormatting>
  <conditionalFormatting sqref="L29">
    <cfRule type="expression" dxfId="2522" priority="2512" stopIfTrue="1">
      <formula>AND(NOT($C29=""),L29="")</formula>
    </cfRule>
    <cfRule type="expression" dxfId="2521" priority="2513" stopIfTrue="1">
      <formula>BU29="0"</formula>
    </cfRule>
  </conditionalFormatting>
  <conditionalFormatting sqref="N29">
    <cfRule type="expression" dxfId="2520" priority="2510" stopIfTrue="1">
      <formula>AND(NOT($C29=""),N29="")</formula>
    </cfRule>
    <cfRule type="expression" dxfId="2519" priority="2511" stopIfTrue="1">
      <formula>CE29="0"</formula>
    </cfRule>
  </conditionalFormatting>
  <conditionalFormatting sqref="M11">
    <cfRule type="expression" dxfId="2518" priority="2509" stopIfTrue="1">
      <formula>BZ11="0"</formula>
    </cfRule>
  </conditionalFormatting>
  <conditionalFormatting sqref="D11">
    <cfRule type="expression" dxfId="2517" priority="2507" stopIfTrue="1">
      <formula>AND(NOT($C11=""),D11="")</formula>
    </cfRule>
    <cfRule type="expression" dxfId="2516" priority="2508" stopIfTrue="1">
      <formula>AG11="0"</formula>
    </cfRule>
  </conditionalFormatting>
  <conditionalFormatting sqref="E11">
    <cfRule type="expression" dxfId="2515" priority="2505" stopIfTrue="1">
      <formula>AND(NOT($C11=""),E11="")</formula>
    </cfRule>
    <cfRule type="expression" dxfId="2514" priority="2506" stopIfTrue="1">
      <formula>AL11="0"</formula>
    </cfRule>
  </conditionalFormatting>
  <conditionalFormatting sqref="F11">
    <cfRule type="expression" dxfId="2513" priority="2503" stopIfTrue="1">
      <formula>AND(NOT($C11=""),F11="")</formula>
    </cfRule>
    <cfRule type="expression" dxfId="2512" priority="2504" stopIfTrue="1">
      <formula>AQ11="0"</formula>
    </cfRule>
  </conditionalFormatting>
  <conditionalFormatting sqref="G11">
    <cfRule type="expression" dxfId="2511" priority="2501" stopIfTrue="1">
      <formula>AND(NOT($C11=""),G11="")</formula>
    </cfRule>
    <cfRule type="expression" dxfId="2510" priority="2502" stopIfTrue="1">
      <formula>AV11="0"</formula>
    </cfRule>
  </conditionalFormatting>
  <conditionalFormatting sqref="H11">
    <cfRule type="expression" dxfId="2509" priority="2499" stopIfTrue="1">
      <formula>AND(NOT($C11=""),H11="")</formula>
    </cfRule>
    <cfRule type="expression" dxfId="2508" priority="2500" stopIfTrue="1">
      <formula>BA11="0"</formula>
    </cfRule>
  </conditionalFormatting>
  <conditionalFormatting sqref="I11">
    <cfRule type="expression" dxfId="2507" priority="2497" stopIfTrue="1">
      <formula>AND(NOT($C11=""),I11="")</formula>
    </cfRule>
    <cfRule type="expression" dxfId="2506" priority="2498" stopIfTrue="1">
      <formula>BF11="0"</formula>
    </cfRule>
  </conditionalFormatting>
  <conditionalFormatting sqref="J11">
    <cfRule type="expression" dxfId="2505" priority="2495" stopIfTrue="1">
      <formula>AND(NOT($C11=""),J11="")</formula>
    </cfRule>
    <cfRule type="expression" dxfId="2504" priority="2496" stopIfTrue="1">
      <formula>BK11="0"</formula>
    </cfRule>
  </conditionalFormatting>
  <conditionalFormatting sqref="K11">
    <cfRule type="expression" dxfId="2503" priority="2493" stopIfTrue="1">
      <formula>AND(NOT($C11=""),K11="")</formula>
    </cfRule>
    <cfRule type="expression" dxfId="2502" priority="2494" stopIfTrue="1">
      <formula>BP11="0"</formula>
    </cfRule>
  </conditionalFormatting>
  <conditionalFormatting sqref="L11">
    <cfRule type="expression" dxfId="2501" priority="2491" stopIfTrue="1">
      <formula>AND(NOT($C11=""),L11="")</formula>
    </cfRule>
    <cfRule type="expression" dxfId="2500" priority="2492" stopIfTrue="1">
      <formula>BU11="0"</formula>
    </cfRule>
  </conditionalFormatting>
  <conditionalFormatting sqref="N11">
    <cfRule type="expression" dxfId="2499" priority="2489" stopIfTrue="1">
      <formula>AND(NOT($C11=""),N11="")</formula>
    </cfRule>
    <cfRule type="expression" dxfId="2498" priority="2490" stopIfTrue="1">
      <formula>CE11="0"</formula>
    </cfRule>
  </conditionalFormatting>
  <conditionalFormatting sqref="M11">
    <cfRule type="expression" dxfId="2497" priority="2488" stopIfTrue="1">
      <formula>BZ11="0"</formula>
    </cfRule>
  </conditionalFormatting>
  <conditionalFormatting sqref="D11">
    <cfRule type="expression" dxfId="2496" priority="2486" stopIfTrue="1">
      <formula>AND(NOT($C11=""),D11="")</formula>
    </cfRule>
    <cfRule type="expression" dxfId="2495" priority="2487" stopIfTrue="1">
      <formula>AG11="0"</formula>
    </cfRule>
  </conditionalFormatting>
  <conditionalFormatting sqref="E11">
    <cfRule type="expression" dxfId="2494" priority="2484" stopIfTrue="1">
      <formula>AND(NOT($C11=""),E11="")</formula>
    </cfRule>
    <cfRule type="expression" dxfId="2493" priority="2485" stopIfTrue="1">
      <formula>AL11="0"</formula>
    </cfRule>
  </conditionalFormatting>
  <conditionalFormatting sqref="F11">
    <cfRule type="expression" dxfId="2492" priority="2482" stopIfTrue="1">
      <formula>AND(NOT($C11=""),F11="")</formula>
    </cfRule>
    <cfRule type="expression" dxfId="2491" priority="2483" stopIfTrue="1">
      <formula>AQ11="0"</formula>
    </cfRule>
  </conditionalFormatting>
  <conditionalFormatting sqref="G11">
    <cfRule type="expression" dxfId="2490" priority="2480" stopIfTrue="1">
      <formula>AND(NOT($C11=""),G11="")</formula>
    </cfRule>
    <cfRule type="expression" dxfId="2489" priority="2481" stopIfTrue="1">
      <formula>AV11="0"</formula>
    </cfRule>
  </conditionalFormatting>
  <conditionalFormatting sqref="H11">
    <cfRule type="expression" dxfId="2488" priority="2478" stopIfTrue="1">
      <formula>AND(NOT($C11=""),H11="")</formula>
    </cfRule>
    <cfRule type="expression" dxfId="2487" priority="2479" stopIfTrue="1">
      <formula>BA11="0"</formula>
    </cfRule>
  </conditionalFormatting>
  <conditionalFormatting sqref="I11">
    <cfRule type="expression" dxfId="2486" priority="2476" stopIfTrue="1">
      <formula>AND(NOT($C11=""),I11="")</formula>
    </cfRule>
    <cfRule type="expression" dxfId="2485" priority="2477" stopIfTrue="1">
      <formula>BF11="0"</formula>
    </cfRule>
  </conditionalFormatting>
  <conditionalFormatting sqref="J11">
    <cfRule type="expression" dxfId="2484" priority="2474" stopIfTrue="1">
      <formula>AND(NOT($C11=""),J11="")</formula>
    </cfRule>
    <cfRule type="expression" dxfId="2483" priority="2475" stopIfTrue="1">
      <formula>BK11="0"</formula>
    </cfRule>
  </conditionalFormatting>
  <conditionalFormatting sqref="K11">
    <cfRule type="expression" dxfId="2482" priority="2472" stopIfTrue="1">
      <formula>AND(NOT($C11=""),K11="")</formula>
    </cfRule>
    <cfRule type="expression" dxfId="2481" priority="2473" stopIfTrue="1">
      <formula>BP11="0"</formula>
    </cfRule>
  </conditionalFormatting>
  <conditionalFormatting sqref="L11">
    <cfRule type="expression" dxfId="2480" priority="2470" stopIfTrue="1">
      <formula>AND(NOT($C11=""),L11="")</formula>
    </cfRule>
    <cfRule type="expression" dxfId="2479" priority="2471" stopIfTrue="1">
      <formula>BU11="0"</formula>
    </cfRule>
  </conditionalFormatting>
  <conditionalFormatting sqref="N11">
    <cfRule type="expression" dxfId="2478" priority="2468" stopIfTrue="1">
      <formula>AND(NOT($C11=""),N11="")</formula>
    </cfRule>
    <cfRule type="expression" dxfId="2477" priority="2469" stopIfTrue="1">
      <formula>CE11="0"</formula>
    </cfRule>
  </conditionalFormatting>
  <conditionalFormatting sqref="M11">
    <cfRule type="expression" dxfId="2476" priority="2467" stopIfTrue="1">
      <formula>BZ11="0"</formula>
    </cfRule>
  </conditionalFormatting>
  <conditionalFormatting sqref="D11">
    <cfRule type="expression" dxfId="2475" priority="2465" stopIfTrue="1">
      <formula>AND(NOT($C11=""),D11="")</formula>
    </cfRule>
    <cfRule type="expression" dxfId="2474" priority="2466" stopIfTrue="1">
      <formula>AG11="0"</formula>
    </cfRule>
  </conditionalFormatting>
  <conditionalFormatting sqref="E11">
    <cfRule type="expression" dxfId="2473" priority="2463" stopIfTrue="1">
      <formula>AND(NOT($C11=""),E11="")</formula>
    </cfRule>
    <cfRule type="expression" dxfId="2472" priority="2464" stopIfTrue="1">
      <formula>AL11="0"</formula>
    </cfRule>
  </conditionalFormatting>
  <conditionalFormatting sqref="F11">
    <cfRule type="expression" dxfId="2471" priority="2461" stopIfTrue="1">
      <formula>AND(NOT($C11=""),F11="")</formula>
    </cfRule>
    <cfRule type="expression" dxfId="2470" priority="2462" stopIfTrue="1">
      <formula>AQ11="0"</formula>
    </cfRule>
  </conditionalFormatting>
  <conditionalFormatting sqref="G11">
    <cfRule type="expression" dxfId="2469" priority="2459" stopIfTrue="1">
      <formula>AND(NOT($C11=""),G11="")</formula>
    </cfRule>
    <cfRule type="expression" dxfId="2468" priority="2460" stopIfTrue="1">
      <formula>AV11="0"</formula>
    </cfRule>
  </conditionalFormatting>
  <conditionalFormatting sqref="H11">
    <cfRule type="expression" dxfId="2467" priority="2457" stopIfTrue="1">
      <formula>AND(NOT($C11=""),H11="")</formula>
    </cfRule>
    <cfRule type="expression" dxfId="2466" priority="2458" stopIfTrue="1">
      <formula>BA11="0"</formula>
    </cfRule>
  </conditionalFormatting>
  <conditionalFormatting sqref="I11">
    <cfRule type="expression" dxfId="2465" priority="2455" stopIfTrue="1">
      <formula>AND(NOT($C11=""),I11="")</formula>
    </cfRule>
    <cfRule type="expression" dxfId="2464" priority="2456" stopIfTrue="1">
      <formula>BF11="0"</formula>
    </cfRule>
  </conditionalFormatting>
  <conditionalFormatting sqref="J11">
    <cfRule type="expression" dxfId="2463" priority="2453" stopIfTrue="1">
      <formula>AND(NOT($C11=""),J11="")</formula>
    </cfRule>
    <cfRule type="expression" dxfId="2462" priority="2454" stopIfTrue="1">
      <formula>BK11="0"</formula>
    </cfRule>
  </conditionalFormatting>
  <conditionalFormatting sqref="K11">
    <cfRule type="expression" dxfId="2461" priority="2451" stopIfTrue="1">
      <formula>AND(NOT($C11=""),K11="")</formula>
    </cfRule>
    <cfRule type="expression" dxfId="2460" priority="2452" stopIfTrue="1">
      <formula>BP11="0"</formula>
    </cfRule>
  </conditionalFormatting>
  <conditionalFormatting sqref="L11">
    <cfRule type="expression" dxfId="2459" priority="2449" stopIfTrue="1">
      <formula>AND(NOT($C11=""),L11="")</formula>
    </cfRule>
    <cfRule type="expression" dxfId="2458" priority="2450" stopIfTrue="1">
      <formula>BU11="0"</formula>
    </cfRule>
  </conditionalFormatting>
  <conditionalFormatting sqref="N11">
    <cfRule type="expression" dxfId="2457" priority="2447" stopIfTrue="1">
      <formula>AND(NOT($C11=""),N11="")</formula>
    </cfRule>
    <cfRule type="expression" dxfId="2456" priority="2448" stopIfTrue="1">
      <formula>CE11="0"</formula>
    </cfRule>
  </conditionalFormatting>
  <conditionalFormatting sqref="M11">
    <cfRule type="expression" dxfId="2455" priority="2446" stopIfTrue="1">
      <formula>BZ11="0"</formula>
    </cfRule>
  </conditionalFormatting>
  <conditionalFormatting sqref="D11">
    <cfRule type="expression" dxfId="2454" priority="2444" stopIfTrue="1">
      <formula>AND(NOT($C11=""),D11="")</formula>
    </cfRule>
    <cfRule type="expression" dxfId="2453" priority="2445" stopIfTrue="1">
      <formula>AG11="0"</formula>
    </cfRule>
  </conditionalFormatting>
  <conditionalFormatting sqref="E11">
    <cfRule type="expression" dxfId="2452" priority="2442" stopIfTrue="1">
      <formula>AND(NOT($C11=""),E11="")</formula>
    </cfRule>
    <cfRule type="expression" dxfId="2451" priority="2443" stopIfTrue="1">
      <formula>AL11="0"</formula>
    </cfRule>
  </conditionalFormatting>
  <conditionalFormatting sqref="F11">
    <cfRule type="expression" dxfId="2450" priority="2440" stopIfTrue="1">
      <formula>AND(NOT($C11=""),F11="")</formula>
    </cfRule>
    <cfRule type="expression" dxfId="2449" priority="2441" stopIfTrue="1">
      <formula>AQ11="0"</formula>
    </cfRule>
  </conditionalFormatting>
  <conditionalFormatting sqref="G11">
    <cfRule type="expression" dxfId="2448" priority="2438" stopIfTrue="1">
      <formula>AND(NOT($C11=""),G11="")</formula>
    </cfRule>
    <cfRule type="expression" dxfId="2447" priority="2439" stopIfTrue="1">
      <formula>AV11="0"</formula>
    </cfRule>
  </conditionalFormatting>
  <conditionalFormatting sqref="H11">
    <cfRule type="expression" dxfId="2446" priority="2436" stopIfTrue="1">
      <formula>AND(NOT($C11=""),H11="")</formula>
    </cfRule>
    <cfRule type="expression" dxfId="2445" priority="2437" stopIfTrue="1">
      <formula>BA11="0"</formula>
    </cfRule>
  </conditionalFormatting>
  <conditionalFormatting sqref="I11">
    <cfRule type="expression" dxfId="2444" priority="2434" stopIfTrue="1">
      <formula>AND(NOT($C11=""),I11="")</formula>
    </cfRule>
    <cfRule type="expression" dxfId="2443" priority="2435" stopIfTrue="1">
      <formula>BF11="0"</formula>
    </cfRule>
  </conditionalFormatting>
  <conditionalFormatting sqref="J11">
    <cfRule type="expression" dxfId="2442" priority="2432" stopIfTrue="1">
      <formula>AND(NOT($C11=""),J11="")</formula>
    </cfRule>
    <cfRule type="expression" dxfId="2441" priority="2433" stopIfTrue="1">
      <formula>BK11="0"</formula>
    </cfRule>
  </conditionalFormatting>
  <conditionalFormatting sqref="K11">
    <cfRule type="expression" dxfId="2440" priority="2430" stopIfTrue="1">
      <formula>AND(NOT($C11=""),K11="")</formula>
    </cfRule>
    <cfRule type="expression" dxfId="2439" priority="2431" stopIfTrue="1">
      <formula>BP11="0"</formula>
    </cfRule>
  </conditionalFormatting>
  <conditionalFormatting sqref="L11">
    <cfRule type="expression" dxfId="2438" priority="2428" stopIfTrue="1">
      <formula>AND(NOT($C11=""),L11="")</formula>
    </cfRule>
    <cfRule type="expression" dxfId="2437" priority="2429" stopIfTrue="1">
      <formula>BU11="0"</formula>
    </cfRule>
  </conditionalFormatting>
  <conditionalFormatting sqref="N11">
    <cfRule type="expression" dxfId="2436" priority="2426" stopIfTrue="1">
      <formula>AND(NOT($C11=""),N11="")</formula>
    </cfRule>
    <cfRule type="expression" dxfId="2435" priority="2427" stopIfTrue="1">
      <formula>CE11="0"</formula>
    </cfRule>
  </conditionalFormatting>
  <conditionalFormatting sqref="M29">
    <cfRule type="expression" dxfId="2434" priority="2425" stopIfTrue="1">
      <formula>BZ29="0"</formula>
    </cfRule>
  </conditionalFormatting>
  <conditionalFormatting sqref="D29">
    <cfRule type="expression" dxfId="2433" priority="2423" stopIfTrue="1">
      <formula>AND(NOT($C29=""),D29="")</formula>
    </cfRule>
    <cfRule type="expression" dxfId="2432" priority="2424" stopIfTrue="1">
      <formula>AG29="0"</formula>
    </cfRule>
  </conditionalFormatting>
  <conditionalFormatting sqref="E29">
    <cfRule type="expression" dxfId="2431" priority="2421" stopIfTrue="1">
      <formula>AND(NOT($C29=""),E29="")</formula>
    </cfRule>
    <cfRule type="expression" dxfId="2430" priority="2422" stopIfTrue="1">
      <formula>AL29="0"</formula>
    </cfRule>
  </conditionalFormatting>
  <conditionalFormatting sqref="F29">
    <cfRule type="expression" dxfId="2429" priority="2419" stopIfTrue="1">
      <formula>AND(NOT($C29=""),F29="")</formula>
    </cfRule>
    <cfRule type="expression" dxfId="2428" priority="2420" stopIfTrue="1">
      <formula>AQ29="0"</formula>
    </cfRule>
  </conditionalFormatting>
  <conditionalFormatting sqref="G29">
    <cfRule type="expression" dxfId="2427" priority="2417" stopIfTrue="1">
      <formula>AND(NOT($C29=""),G29="")</formula>
    </cfRule>
    <cfRule type="expression" dxfId="2426" priority="2418" stopIfTrue="1">
      <formula>AV29="0"</formula>
    </cfRule>
  </conditionalFormatting>
  <conditionalFormatting sqref="H29">
    <cfRule type="expression" dxfId="2425" priority="2415" stopIfTrue="1">
      <formula>AND(NOT($C29=""),H29="")</formula>
    </cfRule>
    <cfRule type="expression" dxfId="2424" priority="2416" stopIfTrue="1">
      <formula>BA29="0"</formula>
    </cfRule>
  </conditionalFormatting>
  <conditionalFormatting sqref="I29">
    <cfRule type="expression" dxfId="2423" priority="2413" stopIfTrue="1">
      <formula>AND(NOT($C29=""),I29="")</formula>
    </cfRule>
    <cfRule type="expression" dxfId="2422" priority="2414" stopIfTrue="1">
      <formula>BF29="0"</formula>
    </cfRule>
  </conditionalFormatting>
  <conditionalFormatting sqref="J29">
    <cfRule type="expression" dxfId="2421" priority="2411" stopIfTrue="1">
      <formula>AND(NOT($C29=""),J29="")</formula>
    </cfRule>
    <cfRule type="expression" dxfId="2420" priority="2412" stopIfTrue="1">
      <formula>BK29="0"</formula>
    </cfRule>
  </conditionalFormatting>
  <conditionalFormatting sqref="K29">
    <cfRule type="expression" dxfId="2419" priority="2409" stopIfTrue="1">
      <formula>AND(NOT($C29=""),K29="")</formula>
    </cfRule>
    <cfRule type="expression" dxfId="2418" priority="2410" stopIfTrue="1">
      <formula>BP29="0"</formula>
    </cfRule>
  </conditionalFormatting>
  <conditionalFormatting sqref="L29">
    <cfRule type="expression" dxfId="2417" priority="2407" stopIfTrue="1">
      <formula>AND(NOT($C29=""),L29="")</formula>
    </cfRule>
    <cfRule type="expression" dxfId="2416" priority="2408" stopIfTrue="1">
      <formula>BU29="0"</formula>
    </cfRule>
  </conditionalFormatting>
  <conditionalFormatting sqref="N29">
    <cfRule type="expression" dxfId="2415" priority="2405" stopIfTrue="1">
      <formula>AND(NOT($C29=""),N29="")</formula>
    </cfRule>
    <cfRule type="expression" dxfId="2414" priority="2406" stopIfTrue="1">
      <formula>CE29="0"</formula>
    </cfRule>
  </conditionalFormatting>
  <conditionalFormatting sqref="M29">
    <cfRule type="expression" dxfId="2413" priority="2404" stopIfTrue="1">
      <formula>BZ29="0"</formula>
    </cfRule>
  </conditionalFormatting>
  <conditionalFormatting sqref="D29">
    <cfRule type="expression" dxfId="2412" priority="2402" stopIfTrue="1">
      <formula>AND(NOT($C29=""),D29="")</formula>
    </cfRule>
    <cfRule type="expression" dxfId="2411" priority="2403" stopIfTrue="1">
      <formula>AG29="0"</formula>
    </cfRule>
  </conditionalFormatting>
  <conditionalFormatting sqref="E29">
    <cfRule type="expression" dxfId="2410" priority="2400" stopIfTrue="1">
      <formula>AND(NOT($C29=""),E29="")</formula>
    </cfRule>
    <cfRule type="expression" dxfId="2409" priority="2401" stopIfTrue="1">
      <formula>AL29="0"</formula>
    </cfRule>
  </conditionalFormatting>
  <conditionalFormatting sqref="F29">
    <cfRule type="expression" dxfId="2408" priority="2398" stopIfTrue="1">
      <formula>AND(NOT($C29=""),F29="")</formula>
    </cfRule>
    <cfRule type="expression" dxfId="2407" priority="2399" stopIfTrue="1">
      <formula>AQ29="0"</formula>
    </cfRule>
  </conditionalFormatting>
  <conditionalFormatting sqref="G29">
    <cfRule type="expression" dxfId="2406" priority="2396" stopIfTrue="1">
      <formula>AND(NOT($C29=""),G29="")</formula>
    </cfRule>
    <cfRule type="expression" dxfId="2405" priority="2397" stopIfTrue="1">
      <formula>AV29="0"</formula>
    </cfRule>
  </conditionalFormatting>
  <conditionalFormatting sqref="H29">
    <cfRule type="expression" dxfId="2404" priority="2394" stopIfTrue="1">
      <formula>AND(NOT($C29=""),H29="")</formula>
    </cfRule>
    <cfRule type="expression" dxfId="2403" priority="2395" stopIfTrue="1">
      <formula>BA29="0"</formula>
    </cfRule>
  </conditionalFormatting>
  <conditionalFormatting sqref="I29">
    <cfRule type="expression" dxfId="2402" priority="2392" stopIfTrue="1">
      <formula>AND(NOT($C29=""),I29="")</formula>
    </cfRule>
    <cfRule type="expression" dxfId="2401" priority="2393" stopIfTrue="1">
      <formula>BF29="0"</formula>
    </cfRule>
  </conditionalFormatting>
  <conditionalFormatting sqref="J29">
    <cfRule type="expression" dxfId="2400" priority="2390" stopIfTrue="1">
      <formula>AND(NOT($C29=""),J29="")</formula>
    </cfRule>
    <cfRule type="expression" dxfId="2399" priority="2391" stopIfTrue="1">
      <formula>BK29="0"</formula>
    </cfRule>
  </conditionalFormatting>
  <conditionalFormatting sqref="K29">
    <cfRule type="expression" dxfId="2398" priority="2388" stopIfTrue="1">
      <formula>AND(NOT($C29=""),K29="")</formula>
    </cfRule>
    <cfRule type="expression" dxfId="2397" priority="2389" stopIfTrue="1">
      <formula>BP29="0"</formula>
    </cfRule>
  </conditionalFormatting>
  <conditionalFormatting sqref="L29">
    <cfRule type="expression" dxfId="2396" priority="2386" stopIfTrue="1">
      <formula>AND(NOT($C29=""),L29="")</formula>
    </cfRule>
    <cfRule type="expression" dxfId="2395" priority="2387" stopIfTrue="1">
      <formula>BU29="0"</formula>
    </cfRule>
  </conditionalFormatting>
  <conditionalFormatting sqref="N29">
    <cfRule type="expression" dxfId="2394" priority="2384" stopIfTrue="1">
      <formula>AND(NOT($C29=""),N29="")</formula>
    </cfRule>
    <cfRule type="expression" dxfId="2393" priority="2385" stopIfTrue="1">
      <formula>CE29="0"</formula>
    </cfRule>
  </conditionalFormatting>
  <conditionalFormatting sqref="M29">
    <cfRule type="expression" dxfId="2392" priority="2383" stopIfTrue="1">
      <formula>BZ29="0"</formula>
    </cfRule>
  </conditionalFormatting>
  <conditionalFormatting sqref="D29">
    <cfRule type="expression" dxfId="2391" priority="2381" stopIfTrue="1">
      <formula>AND(NOT($C29=""),D29="")</formula>
    </cfRule>
    <cfRule type="expression" dxfId="2390" priority="2382" stopIfTrue="1">
      <formula>AG29="0"</formula>
    </cfRule>
  </conditionalFormatting>
  <conditionalFormatting sqref="E29">
    <cfRule type="expression" dxfId="2389" priority="2379" stopIfTrue="1">
      <formula>AND(NOT($C29=""),E29="")</formula>
    </cfRule>
    <cfRule type="expression" dxfId="2388" priority="2380" stopIfTrue="1">
      <formula>AL29="0"</formula>
    </cfRule>
  </conditionalFormatting>
  <conditionalFormatting sqref="F29">
    <cfRule type="expression" dxfId="2387" priority="2377" stopIfTrue="1">
      <formula>AND(NOT($C29=""),F29="")</formula>
    </cfRule>
    <cfRule type="expression" dxfId="2386" priority="2378" stopIfTrue="1">
      <formula>AQ29="0"</formula>
    </cfRule>
  </conditionalFormatting>
  <conditionalFormatting sqref="G29">
    <cfRule type="expression" dxfId="2385" priority="2375" stopIfTrue="1">
      <formula>AND(NOT($C29=""),G29="")</formula>
    </cfRule>
    <cfRule type="expression" dxfId="2384" priority="2376" stopIfTrue="1">
      <formula>AV29="0"</formula>
    </cfRule>
  </conditionalFormatting>
  <conditionalFormatting sqref="H29">
    <cfRule type="expression" dxfId="2383" priority="2373" stopIfTrue="1">
      <formula>AND(NOT($C29=""),H29="")</formula>
    </cfRule>
    <cfRule type="expression" dxfId="2382" priority="2374" stopIfTrue="1">
      <formula>BA29="0"</formula>
    </cfRule>
  </conditionalFormatting>
  <conditionalFormatting sqref="I29">
    <cfRule type="expression" dxfId="2381" priority="2371" stopIfTrue="1">
      <formula>AND(NOT($C29=""),I29="")</formula>
    </cfRule>
    <cfRule type="expression" dxfId="2380" priority="2372" stopIfTrue="1">
      <formula>BF29="0"</formula>
    </cfRule>
  </conditionalFormatting>
  <conditionalFormatting sqref="J29">
    <cfRule type="expression" dxfId="2379" priority="2369" stopIfTrue="1">
      <formula>AND(NOT($C29=""),J29="")</formula>
    </cfRule>
    <cfRule type="expression" dxfId="2378" priority="2370" stopIfTrue="1">
      <formula>BK29="0"</formula>
    </cfRule>
  </conditionalFormatting>
  <conditionalFormatting sqref="K29">
    <cfRule type="expression" dxfId="2377" priority="2367" stopIfTrue="1">
      <formula>AND(NOT($C29=""),K29="")</formula>
    </cfRule>
    <cfRule type="expression" dxfId="2376" priority="2368" stopIfTrue="1">
      <formula>BP29="0"</formula>
    </cfRule>
  </conditionalFormatting>
  <conditionalFormatting sqref="L29">
    <cfRule type="expression" dxfId="2375" priority="2365" stopIfTrue="1">
      <formula>AND(NOT($C29=""),L29="")</formula>
    </cfRule>
    <cfRule type="expression" dxfId="2374" priority="2366" stopIfTrue="1">
      <formula>BU29="0"</formula>
    </cfRule>
  </conditionalFormatting>
  <conditionalFormatting sqref="N29">
    <cfRule type="expression" dxfId="2373" priority="2363" stopIfTrue="1">
      <formula>AND(NOT($C29=""),N29="")</formula>
    </cfRule>
    <cfRule type="expression" dxfId="2372" priority="2364" stopIfTrue="1">
      <formula>CE29="0"</formula>
    </cfRule>
  </conditionalFormatting>
  <conditionalFormatting sqref="M29">
    <cfRule type="expression" dxfId="2371" priority="2362" stopIfTrue="1">
      <formula>BZ29="0"</formula>
    </cfRule>
  </conditionalFormatting>
  <conditionalFormatting sqref="D29">
    <cfRule type="expression" dxfId="2370" priority="2360" stopIfTrue="1">
      <formula>AND(NOT($C29=""),D29="")</formula>
    </cfRule>
    <cfRule type="expression" dxfId="2369" priority="2361" stopIfTrue="1">
      <formula>AG29="0"</formula>
    </cfRule>
  </conditionalFormatting>
  <conditionalFormatting sqref="E29">
    <cfRule type="expression" dxfId="2368" priority="2358" stopIfTrue="1">
      <formula>AND(NOT($C29=""),E29="")</formula>
    </cfRule>
    <cfRule type="expression" dxfId="2367" priority="2359" stopIfTrue="1">
      <formula>AL29="0"</formula>
    </cfRule>
  </conditionalFormatting>
  <conditionalFormatting sqref="F29">
    <cfRule type="expression" dxfId="2366" priority="2356" stopIfTrue="1">
      <formula>AND(NOT($C29=""),F29="")</formula>
    </cfRule>
    <cfRule type="expression" dxfId="2365" priority="2357" stopIfTrue="1">
      <formula>AQ29="0"</formula>
    </cfRule>
  </conditionalFormatting>
  <conditionalFormatting sqref="G29">
    <cfRule type="expression" dxfId="2364" priority="2354" stopIfTrue="1">
      <formula>AND(NOT($C29=""),G29="")</formula>
    </cfRule>
    <cfRule type="expression" dxfId="2363" priority="2355" stopIfTrue="1">
      <formula>AV29="0"</formula>
    </cfRule>
  </conditionalFormatting>
  <conditionalFormatting sqref="H29">
    <cfRule type="expression" dxfId="2362" priority="2352" stopIfTrue="1">
      <formula>AND(NOT($C29=""),H29="")</formula>
    </cfRule>
    <cfRule type="expression" dxfId="2361" priority="2353" stopIfTrue="1">
      <formula>BA29="0"</formula>
    </cfRule>
  </conditionalFormatting>
  <conditionalFormatting sqref="I29">
    <cfRule type="expression" dxfId="2360" priority="2350" stopIfTrue="1">
      <formula>AND(NOT($C29=""),I29="")</formula>
    </cfRule>
    <cfRule type="expression" dxfId="2359" priority="2351" stopIfTrue="1">
      <formula>BF29="0"</formula>
    </cfRule>
  </conditionalFormatting>
  <conditionalFormatting sqref="J29">
    <cfRule type="expression" dxfId="2358" priority="2348" stopIfTrue="1">
      <formula>AND(NOT($C29=""),J29="")</formula>
    </cfRule>
    <cfRule type="expression" dxfId="2357" priority="2349" stopIfTrue="1">
      <formula>BK29="0"</formula>
    </cfRule>
  </conditionalFormatting>
  <conditionalFormatting sqref="K29">
    <cfRule type="expression" dxfId="2356" priority="2346" stopIfTrue="1">
      <formula>AND(NOT($C29=""),K29="")</formula>
    </cfRule>
    <cfRule type="expression" dxfId="2355" priority="2347" stopIfTrue="1">
      <formula>BP29="0"</formula>
    </cfRule>
  </conditionalFormatting>
  <conditionalFormatting sqref="L29">
    <cfRule type="expression" dxfId="2354" priority="2344" stopIfTrue="1">
      <formula>AND(NOT($C29=""),L29="")</formula>
    </cfRule>
    <cfRule type="expression" dxfId="2353" priority="2345" stopIfTrue="1">
      <formula>BU29="0"</formula>
    </cfRule>
  </conditionalFormatting>
  <conditionalFormatting sqref="N29">
    <cfRule type="expression" dxfId="2352" priority="2342" stopIfTrue="1">
      <formula>AND(NOT($C29=""),N29="")</formula>
    </cfRule>
    <cfRule type="expression" dxfId="2351" priority="2343" stopIfTrue="1">
      <formula>CE29="0"</formula>
    </cfRule>
  </conditionalFormatting>
  <conditionalFormatting sqref="M29">
    <cfRule type="expression" dxfId="2350" priority="2341" stopIfTrue="1">
      <formula>BZ29="0"</formula>
    </cfRule>
  </conditionalFormatting>
  <conditionalFormatting sqref="D29">
    <cfRule type="expression" dxfId="2349" priority="2339" stopIfTrue="1">
      <formula>AND(NOT($C29=""),D29="")</formula>
    </cfRule>
    <cfRule type="expression" dxfId="2348" priority="2340" stopIfTrue="1">
      <formula>AG29="0"</formula>
    </cfRule>
  </conditionalFormatting>
  <conditionalFormatting sqref="E29">
    <cfRule type="expression" dxfId="2347" priority="2337" stopIfTrue="1">
      <formula>AND(NOT($C29=""),E29="")</formula>
    </cfRule>
    <cfRule type="expression" dxfId="2346" priority="2338" stopIfTrue="1">
      <formula>AL29="0"</formula>
    </cfRule>
  </conditionalFormatting>
  <conditionalFormatting sqref="F29">
    <cfRule type="expression" dxfId="2345" priority="2335" stopIfTrue="1">
      <formula>AND(NOT($C29=""),F29="")</formula>
    </cfRule>
    <cfRule type="expression" dxfId="2344" priority="2336" stopIfTrue="1">
      <formula>AQ29="0"</formula>
    </cfRule>
  </conditionalFormatting>
  <conditionalFormatting sqref="G29">
    <cfRule type="expression" dxfId="2343" priority="2333" stopIfTrue="1">
      <formula>AND(NOT($C29=""),G29="")</formula>
    </cfRule>
    <cfRule type="expression" dxfId="2342" priority="2334" stopIfTrue="1">
      <formula>AV29="0"</formula>
    </cfRule>
  </conditionalFormatting>
  <conditionalFormatting sqref="H29">
    <cfRule type="expression" dxfId="2341" priority="2331" stopIfTrue="1">
      <formula>AND(NOT($C29=""),H29="")</formula>
    </cfRule>
    <cfRule type="expression" dxfId="2340" priority="2332" stopIfTrue="1">
      <formula>BA29="0"</formula>
    </cfRule>
  </conditionalFormatting>
  <conditionalFormatting sqref="I29">
    <cfRule type="expression" dxfId="2339" priority="2329" stopIfTrue="1">
      <formula>AND(NOT($C29=""),I29="")</formula>
    </cfRule>
    <cfRule type="expression" dxfId="2338" priority="2330" stopIfTrue="1">
      <formula>BF29="0"</formula>
    </cfRule>
  </conditionalFormatting>
  <conditionalFormatting sqref="J29">
    <cfRule type="expression" dxfId="2337" priority="2327" stopIfTrue="1">
      <formula>AND(NOT($C29=""),J29="")</formula>
    </cfRule>
    <cfRule type="expression" dxfId="2336" priority="2328" stopIfTrue="1">
      <formula>BK29="0"</formula>
    </cfRule>
  </conditionalFormatting>
  <conditionalFormatting sqref="K29">
    <cfRule type="expression" dxfId="2335" priority="2325" stopIfTrue="1">
      <formula>AND(NOT($C29=""),K29="")</formula>
    </cfRule>
    <cfRule type="expression" dxfId="2334" priority="2326" stopIfTrue="1">
      <formula>BP29="0"</formula>
    </cfRule>
  </conditionalFormatting>
  <conditionalFormatting sqref="L29">
    <cfRule type="expression" dxfId="2333" priority="2323" stopIfTrue="1">
      <formula>AND(NOT($C29=""),L29="")</formula>
    </cfRule>
    <cfRule type="expression" dxfId="2332" priority="2324" stopIfTrue="1">
      <formula>BU29="0"</formula>
    </cfRule>
  </conditionalFormatting>
  <conditionalFormatting sqref="N29">
    <cfRule type="expression" dxfId="2331" priority="2321" stopIfTrue="1">
      <formula>AND(NOT($C29=""),N29="")</formula>
    </cfRule>
    <cfRule type="expression" dxfId="2330" priority="2322" stopIfTrue="1">
      <formula>CE29="0"</formula>
    </cfRule>
  </conditionalFormatting>
  <conditionalFormatting sqref="M30">
    <cfRule type="expression" dxfId="2329" priority="2320" stopIfTrue="1">
      <formula>BZ30="0"</formula>
    </cfRule>
  </conditionalFormatting>
  <conditionalFormatting sqref="D30">
    <cfRule type="expression" dxfId="2328" priority="2318" stopIfTrue="1">
      <formula>AND(NOT($C30=""),D30="")</formula>
    </cfRule>
    <cfRule type="expression" dxfId="2327" priority="2319" stopIfTrue="1">
      <formula>AG30="0"</formula>
    </cfRule>
  </conditionalFormatting>
  <conditionalFormatting sqref="E30">
    <cfRule type="expression" dxfId="2326" priority="2316" stopIfTrue="1">
      <formula>AND(NOT($C30=""),E30="")</formula>
    </cfRule>
    <cfRule type="expression" dxfId="2325" priority="2317" stopIfTrue="1">
      <formula>AL30="0"</formula>
    </cfRule>
  </conditionalFormatting>
  <conditionalFormatting sqref="F30">
    <cfRule type="expression" dxfId="2324" priority="2314" stopIfTrue="1">
      <formula>AND(NOT($C30=""),F30="")</formula>
    </cfRule>
    <cfRule type="expression" dxfId="2323" priority="2315" stopIfTrue="1">
      <formula>AQ30="0"</formula>
    </cfRule>
  </conditionalFormatting>
  <conditionalFormatting sqref="G30">
    <cfRule type="expression" dxfId="2322" priority="2312" stopIfTrue="1">
      <formula>AND(NOT($C30=""),G30="")</formula>
    </cfRule>
    <cfRule type="expression" dxfId="2321" priority="2313" stopIfTrue="1">
      <formula>AV30="0"</formula>
    </cfRule>
  </conditionalFormatting>
  <conditionalFormatting sqref="H30">
    <cfRule type="expression" dxfId="2320" priority="2310" stopIfTrue="1">
      <formula>AND(NOT($C30=""),H30="")</formula>
    </cfRule>
    <cfRule type="expression" dxfId="2319" priority="2311" stopIfTrue="1">
      <formula>BA30="0"</formula>
    </cfRule>
  </conditionalFormatting>
  <conditionalFormatting sqref="I30">
    <cfRule type="expression" dxfId="2318" priority="2308" stopIfTrue="1">
      <formula>AND(NOT($C30=""),I30="")</formula>
    </cfRule>
    <cfRule type="expression" dxfId="2317" priority="2309" stopIfTrue="1">
      <formula>BF30="0"</formula>
    </cfRule>
  </conditionalFormatting>
  <conditionalFormatting sqref="J30">
    <cfRule type="expression" dxfId="2316" priority="2306" stopIfTrue="1">
      <formula>AND(NOT($C30=""),J30="")</formula>
    </cfRule>
    <cfRule type="expression" dxfId="2315" priority="2307" stopIfTrue="1">
      <formula>BK30="0"</formula>
    </cfRule>
  </conditionalFormatting>
  <conditionalFormatting sqref="K30">
    <cfRule type="expression" dxfId="2314" priority="2304" stopIfTrue="1">
      <formula>AND(NOT($C30=""),K30="")</formula>
    </cfRule>
    <cfRule type="expression" dxfId="2313" priority="2305" stopIfTrue="1">
      <formula>BP30="0"</formula>
    </cfRule>
  </conditionalFormatting>
  <conditionalFormatting sqref="L30">
    <cfRule type="expression" dxfId="2312" priority="2302" stopIfTrue="1">
      <formula>AND(NOT($C30=""),L30="")</formula>
    </cfRule>
    <cfRule type="expression" dxfId="2311" priority="2303" stopIfTrue="1">
      <formula>BU30="0"</formula>
    </cfRule>
  </conditionalFormatting>
  <conditionalFormatting sqref="N30">
    <cfRule type="expression" dxfId="2310" priority="2300" stopIfTrue="1">
      <formula>AND(NOT($C30=""),N30="")</formula>
    </cfRule>
    <cfRule type="expression" dxfId="2309" priority="2301" stopIfTrue="1">
      <formula>CE30="0"</formula>
    </cfRule>
  </conditionalFormatting>
  <conditionalFormatting sqref="M30">
    <cfRule type="expression" dxfId="2308" priority="2299" stopIfTrue="1">
      <formula>BZ30="0"</formula>
    </cfRule>
  </conditionalFormatting>
  <conditionalFormatting sqref="D30">
    <cfRule type="expression" dxfId="2307" priority="2297" stopIfTrue="1">
      <formula>AND(NOT($C30=""),D30="")</formula>
    </cfRule>
    <cfRule type="expression" dxfId="2306" priority="2298" stopIfTrue="1">
      <formula>AG30="0"</formula>
    </cfRule>
  </conditionalFormatting>
  <conditionalFormatting sqref="E30">
    <cfRule type="expression" dxfId="2305" priority="2295" stopIfTrue="1">
      <formula>AND(NOT($C30=""),E30="")</formula>
    </cfRule>
    <cfRule type="expression" dxfId="2304" priority="2296" stopIfTrue="1">
      <formula>AL30="0"</formula>
    </cfRule>
  </conditionalFormatting>
  <conditionalFormatting sqref="F30">
    <cfRule type="expression" dxfId="2303" priority="2293" stopIfTrue="1">
      <formula>AND(NOT($C30=""),F30="")</formula>
    </cfRule>
    <cfRule type="expression" dxfId="2302" priority="2294" stopIfTrue="1">
      <formula>AQ30="0"</formula>
    </cfRule>
  </conditionalFormatting>
  <conditionalFormatting sqref="G30">
    <cfRule type="expression" dxfId="2301" priority="2291" stopIfTrue="1">
      <formula>AND(NOT($C30=""),G30="")</formula>
    </cfRule>
    <cfRule type="expression" dxfId="2300" priority="2292" stopIfTrue="1">
      <formula>AV30="0"</formula>
    </cfRule>
  </conditionalFormatting>
  <conditionalFormatting sqref="H30">
    <cfRule type="expression" dxfId="2299" priority="2289" stopIfTrue="1">
      <formula>AND(NOT($C30=""),H30="")</formula>
    </cfRule>
    <cfRule type="expression" dxfId="2298" priority="2290" stopIfTrue="1">
      <formula>BA30="0"</formula>
    </cfRule>
  </conditionalFormatting>
  <conditionalFormatting sqref="I30">
    <cfRule type="expression" dxfId="2297" priority="2287" stopIfTrue="1">
      <formula>AND(NOT($C30=""),I30="")</formula>
    </cfRule>
    <cfRule type="expression" dxfId="2296" priority="2288" stopIfTrue="1">
      <formula>BF30="0"</formula>
    </cfRule>
  </conditionalFormatting>
  <conditionalFormatting sqref="J30">
    <cfRule type="expression" dxfId="2295" priority="2285" stopIfTrue="1">
      <formula>AND(NOT($C30=""),J30="")</formula>
    </cfRule>
    <cfRule type="expression" dxfId="2294" priority="2286" stopIfTrue="1">
      <formula>BK30="0"</formula>
    </cfRule>
  </conditionalFormatting>
  <conditionalFormatting sqref="K30">
    <cfRule type="expression" dxfId="2293" priority="2283" stopIfTrue="1">
      <formula>AND(NOT($C30=""),K30="")</formula>
    </cfRule>
    <cfRule type="expression" dxfId="2292" priority="2284" stopIfTrue="1">
      <formula>BP30="0"</formula>
    </cfRule>
  </conditionalFormatting>
  <conditionalFormatting sqref="L30">
    <cfRule type="expression" dxfId="2291" priority="2281" stopIfTrue="1">
      <formula>AND(NOT($C30=""),L30="")</formula>
    </cfRule>
    <cfRule type="expression" dxfId="2290" priority="2282" stopIfTrue="1">
      <formula>BU30="0"</formula>
    </cfRule>
  </conditionalFormatting>
  <conditionalFormatting sqref="N30">
    <cfRule type="expression" dxfId="2289" priority="2279" stopIfTrue="1">
      <formula>AND(NOT($C30=""),N30="")</formula>
    </cfRule>
    <cfRule type="expression" dxfId="2288" priority="2280" stopIfTrue="1">
      <formula>CE30="0"</formula>
    </cfRule>
  </conditionalFormatting>
  <conditionalFormatting sqref="M30">
    <cfRule type="expression" dxfId="2287" priority="2278" stopIfTrue="1">
      <formula>BZ30="0"</formula>
    </cfRule>
  </conditionalFormatting>
  <conditionalFormatting sqref="D30">
    <cfRule type="expression" dxfId="2286" priority="2276" stopIfTrue="1">
      <formula>AND(NOT($C30=""),D30="")</formula>
    </cfRule>
    <cfRule type="expression" dxfId="2285" priority="2277" stopIfTrue="1">
      <formula>AG30="0"</formula>
    </cfRule>
  </conditionalFormatting>
  <conditionalFormatting sqref="E30">
    <cfRule type="expression" dxfId="2284" priority="2274" stopIfTrue="1">
      <formula>AND(NOT($C30=""),E30="")</formula>
    </cfRule>
    <cfRule type="expression" dxfId="2283" priority="2275" stopIfTrue="1">
      <formula>AL30="0"</formula>
    </cfRule>
  </conditionalFormatting>
  <conditionalFormatting sqref="F30">
    <cfRule type="expression" dxfId="2282" priority="2272" stopIfTrue="1">
      <formula>AND(NOT($C30=""),F30="")</formula>
    </cfRule>
    <cfRule type="expression" dxfId="2281" priority="2273" stopIfTrue="1">
      <formula>AQ30="0"</formula>
    </cfRule>
  </conditionalFormatting>
  <conditionalFormatting sqref="G30">
    <cfRule type="expression" dxfId="2280" priority="2270" stopIfTrue="1">
      <formula>AND(NOT($C30=""),G30="")</formula>
    </cfRule>
    <cfRule type="expression" dxfId="2279" priority="2271" stopIfTrue="1">
      <formula>AV30="0"</formula>
    </cfRule>
  </conditionalFormatting>
  <conditionalFormatting sqref="H30">
    <cfRule type="expression" dxfId="2278" priority="2268" stopIfTrue="1">
      <formula>AND(NOT($C30=""),H30="")</formula>
    </cfRule>
    <cfRule type="expression" dxfId="2277" priority="2269" stopIfTrue="1">
      <formula>BA30="0"</formula>
    </cfRule>
  </conditionalFormatting>
  <conditionalFormatting sqref="I30">
    <cfRule type="expression" dxfId="2276" priority="2266" stopIfTrue="1">
      <formula>AND(NOT($C30=""),I30="")</formula>
    </cfRule>
    <cfRule type="expression" dxfId="2275" priority="2267" stopIfTrue="1">
      <formula>BF30="0"</formula>
    </cfRule>
  </conditionalFormatting>
  <conditionalFormatting sqref="J30">
    <cfRule type="expression" dxfId="2274" priority="2264" stopIfTrue="1">
      <formula>AND(NOT($C30=""),J30="")</formula>
    </cfRule>
    <cfRule type="expression" dxfId="2273" priority="2265" stopIfTrue="1">
      <formula>BK30="0"</formula>
    </cfRule>
  </conditionalFormatting>
  <conditionalFormatting sqref="K30">
    <cfRule type="expression" dxfId="2272" priority="2262" stopIfTrue="1">
      <formula>AND(NOT($C30=""),K30="")</formula>
    </cfRule>
    <cfRule type="expression" dxfId="2271" priority="2263" stopIfTrue="1">
      <formula>BP30="0"</formula>
    </cfRule>
  </conditionalFormatting>
  <conditionalFormatting sqref="L30">
    <cfRule type="expression" dxfId="2270" priority="2260" stopIfTrue="1">
      <formula>AND(NOT($C30=""),L30="")</formula>
    </cfRule>
    <cfRule type="expression" dxfId="2269" priority="2261" stopIfTrue="1">
      <formula>BU30="0"</formula>
    </cfRule>
  </conditionalFormatting>
  <conditionalFormatting sqref="N30">
    <cfRule type="expression" dxfId="2268" priority="2258" stopIfTrue="1">
      <formula>AND(NOT($C30=""),N30="")</formula>
    </cfRule>
    <cfRule type="expression" dxfId="2267" priority="2259" stopIfTrue="1">
      <formula>CE30="0"</formula>
    </cfRule>
  </conditionalFormatting>
  <conditionalFormatting sqref="M30">
    <cfRule type="expression" dxfId="2266" priority="2257" stopIfTrue="1">
      <formula>BZ30="0"</formula>
    </cfRule>
  </conditionalFormatting>
  <conditionalFormatting sqref="D30">
    <cfRule type="expression" dxfId="2265" priority="2255" stopIfTrue="1">
      <formula>AND(NOT($C30=""),D30="")</formula>
    </cfRule>
    <cfRule type="expression" dxfId="2264" priority="2256" stopIfTrue="1">
      <formula>AG30="0"</formula>
    </cfRule>
  </conditionalFormatting>
  <conditionalFormatting sqref="E30">
    <cfRule type="expression" dxfId="2263" priority="2253" stopIfTrue="1">
      <formula>AND(NOT($C30=""),E30="")</formula>
    </cfRule>
    <cfRule type="expression" dxfId="2262" priority="2254" stopIfTrue="1">
      <formula>AL30="0"</formula>
    </cfRule>
  </conditionalFormatting>
  <conditionalFormatting sqref="F30">
    <cfRule type="expression" dxfId="2261" priority="2251" stopIfTrue="1">
      <formula>AND(NOT($C30=""),F30="")</formula>
    </cfRule>
    <cfRule type="expression" dxfId="2260" priority="2252" stopIfTrue="1">
      <formula>AQ30="0"</formula>
    </cfRule>
  </conditionalFormatting>
  <conditionalFormatting sqref="G30">
    <cfRule type="expression" dxfId="2259" priority="2249" stopIfTrue="1">
      <formula>AND(NOT($C30=""),G30="")</formula>
    </cfRule>
    <cfRule type="expression" dxfId="2258" priority="2250" stopIfTrue="1">
      <formula>AV30="0"</formula>
    </cfRule>
  </conditionalFormatting>
  <conditionalFormatting sqref="H30">
    <cfRule type="expression" dxfId="2257" priority="2247" stopIfTrue="1">
      <formula>AND(NOT($C30=""),H30="")</formula>
    </cfRule>
    <cfRule type="expression" dxfId="2256" priority="2248" stopIfTrue="1">
      <formula>BA30="0"</formula>
    </cfRule>
  </conditionalFormatting>
  <conditionalFormatting sqref="I30">
    <cfRule type="expression" dxfId="2255" priority="2245" stopIfTrue="1">
      <formula>AND(NOT($C30=""),I30="")</formula>
    </cfRule>
    <cfRule type="expression" dxfId="2254" priority="2246" stopIfTrue="1">
      <formula>BF30="0"</formula>
    </cfRule>
  </conditionalFormatting>
  <conditionalFormatting sqref="J30">
    <cfRule type="expression" dxfId="2253" priority="2243" stopIfTrue="1">
      <formula>AND(NOT($C30=""),J30="")</formula>
    </cfRule>
    <cfRule type="expression" dxfId="2252" priority="2244" stopIfTrue="1">
      <formula>BK30="0"</formula>
    </cfRule>
  </conditionalFormatting>
  <conditionalFormatting sqref="K30">
    <cfRule type="expression" dxfId="2251" priority="2241" stopIfTrue="1">
      <formula>AND(NOT($C30=""),K30="")</formula>
    </cfRule>
    <cfRule type="expression" dxfId="2250" priority="2242" stopIfTrue="1">
      <formula>BP30="0"</formula>
    </cfRule>
  </conditionalFormatting>
  <conditionalFormatting sqref="L30">
    <cfRule type="expression" dxfId="2249" priority="2239" stopIfTrue="1">
      <formula>AND(NOT($C30=""),L30="")</formula>
    </cfRule>
    <cfRule type="expression" dxfId="2248" priority="2240" stopIfTrue="1">
      <formula>BU30="0"</formula>
    </cfRule>
  </conditionalFormatting>
  <conditionalFormatting sqref="N30">
    <cfRule type="expression" dxfId="2247" priority="2237" stopIfTrue="1">
      <formula>AND(NOT($C30=""),N30="")</formula>
    </cfRule>
    <cfRule type="expression" dxfId="2246" priority="2238" stopIfTrue="1">
      <formula>CE30="0"</formula>
    </cfRule>
  </conditionalFormatting>
  <conditionalFormatting sqref="M30">
    <cfRule type="expression" dxfId="2245" priority="2236" stopIfTrue="1">
      <formula>BZ30="0"</formula>
    </cfRule>
  </conditionalFormatting>
  <conditionalFormatting sqref="D30">
    <cfRule type="expression" dxfId="2244" priority="2234" stopIfTrue="1">
      <formula>AND(NOT($C30=""),D30="")</formula>
    </cfRule>
    <cfRule type="expression" dxfId="2243" priority="2235" stopIfTrue="1">
      <formula>AG30="0"</formula>
    </cfRule>
  </conditionalFormatting>
  <conditionalFormatting sqref="E30">
    <cfRule type="expression" dxfId="2242" priority="2232" stopIfTrue="1">
      <formula>AND(NOT($C30=""),E30="")</formula>
    </cfRule>
    <cfRule type="expression" dxfId="2241" priority="2233" stopIfTrue="1">
      <formula>AL30="0"</formula>
    </cfRule>
  </conditionalFormatting>
  <conditionalFormatting sqref="F30">
    <cfRule type="expression" dxfId="2240" priority="2230" stopIfTrue="1">
      <formula>AND(NOT($C30=""),F30="")</formula>
    </cfRule>
    <cfRule type="expression" dxfId="2239" priority="2231" stopIfTrue="1">
      <formula>AQ30="0"</formula>
    </cfRule>
  </conditionalFormatting>
  <conditionalFormatting sqref="G30">
    <cfRule type="expression" dxfId="2238" priority="2228" stopIfTrue="1">
      <formula>AND(NOT($C30=""),G30="")</formula>
    </cfRule>
    <cfRule type="expression" dxfId="2237" priority="2229" stopIfTrue="1">
      <formula>AV30="0"</formula>
    </cfRule>
  </conditionalFormatting>
  <conditionalFormatting sqref="H30">
    <cfRule type="expression" dxfId="2236" priority="2226" stopIfTrue="1">
      <formula>AND(NOT($C30=""),H30="")</formula>
    </cfRule>
    <cfRule type="expression" dxfId="2235" priority="2227" stopIfTrue="1">
      <formula>BA30="0"</formula>
    </cfRule>
  </conditionalFormatting>
  <conditionalFormatting sqref="I30">
    <cfRule type="expression" dxfId="2234" priority="2224" stopIfTrue="1">
      <formula>AND(NOT($C30=""),I30="")</formula>
    </cfRule>
    <cfRule type="expression" dxfId="2233" priority="2225" stopIfTrue="1">
      <formula>BF30="0"</formula>
    </cfRule>
  </conditionalFormatting>
  <conditionalFormatting sqref="J30">
    <cfRule type="expression" dxfId="2232" priority="2222" stopIfTrue="1">
      <formula>AND(NOT($C30=""),J30="")</formula>
    </cfRule>
    <cfRule type="expression" dxfId="2231" priority="2223" stopIfTrue="1">
      <formula>BK30="0"</formula>
    </cfRule>
  </conditionalFormatting>
  <conditionalFormatting sqref="K30">
    <cfRule type="expression" dxfId="2230" priority="2220" stopIfTrue="1">
      <formula>AND(NOT($C30=""),K30="")</formula>
    </cfRule>
    <cfRule type="expression" dxfId="2229" priority="2221" stopIfTrue="1">
      <formula>BP30="0"</formula>
    </cfRule>
  </conditionalFormatting>
  <conditionalFormatting sqref="L30">
    <cfRule type="expression" dxfId="2228" priority="2218" stopIfTrue="1">
      <formula>AND(NOT($C30=""),L30="")</formula>
    </cfRule>
    <cfRule type="expression" dxfId="2227" priority="2219" stopIfTrue="1">
      <formula>BU30="0"</formula>
    </cfRule>
  </conditionalFormatting>
  <conditionalFormatting sqref="N30">
    <cfRule type="expression" dxfId="2226" priority="2216" stopIfTrue="1">
      <formula>AND(NOT($C30=""),N30="")</formula>
    </cfRule>
    <cfRule type="expression" dxfId="2225" priority="2217" stopIfTrue="1">
      <formula>CE30="0"</formula>
    </cfRule>
  </conditionalFormatting>
  <conditionalFormatting sqref="M30">
    <cfRule type="expression" dxfId="2224" priority="2215" stopIfTrue="1">
      <formula>BZ30="0"</formula>
    </cfRule>
  </conditionalFormatting>
  <conditionalFormatting sqref="D30">
    <cfRule type="expression" dxfId="2223" priority="2213" stopIfTrue="1">
      <formula>AND(NOT($C30=""),D30="")</formula>
    </cfRule>
    <cfRule type="expression" dxfId="2222" priority="2214" stopIfTrue="1">
      <formula>AG30="0"</formula>
    </cfRule>
  </conditionalFormatting>
  <conditionalFormatting sqref="E30">
    <cfRule type="expression" dxfId="2221" priority="2211" stopIfTrue="1">
      <formula>AND(NOT($C30=""),E30="")</formula>
    </cfRule>
    <cfRule type="expression" dxfId="2220" priority="2212" stopIfTrue="1">
      <formula>AL30="0"</formula>
    </cfRule>
  </conditionalFormatting>
  <conditionalFormatting sqref="F30">
    <cfRule type="expression" dxfId="2219" priority="2209" stopIfTrue="1">
      <formula>AND(NOT($C30=""),F30="")</formula>
    </cfRule>
    <cfRule type="expression" dxfId="2218" priority="2210" stopIfTrue="1">
      <formula>AQ30="0"</formula>
    </cfRule>
  </conditionalFormatting>
  <conditionalFormatting sqref="G30">
    <cfRule type="expression" dxfId="2217" priority="2207" stopIfTrue="1">
      <formula>AND(NOT($C30=""),G30="")</formula>
    </cfRule>
    <cfRule type="expression" dxfId="2216" priority="2208" stopIfTrue="1">
      <formula>AV30="0"</formula>
    </cfRule>
  </conditionalFormatting>
  <conditionalFormatting sqref="H30">
    <cfRule type="expression" dxfId="2215" priority="2205" stopIfTrue="1">
      <formula>AND(NOT($C30=""),H30="")</formula>
    </cfRule>
    <cfRule type="expression" dxfId="2214" priority="2206" stopIfTrue="1">
      <formula>BA30="0"</formula>
    </cfRule>
  </conditionalFormatting>
  <conditionalFormatting sqref="I30">
    <cfRule type="expression" dxfId="2213" priority="2203" stopIfTrue="1">
      <formula>AND(NOT($C30=""),I30="")</formula>
    </cfRule>
    <cfRule type="expression" dxfId="2212" priority="2204" stopIfTrue="1">
      <formula>BF30="0"</formula>
    </cfRule>
  </conditionalFormatting>
  <conditionalFormatting sqref="J30">
    <cfRule type="expression" dxfId="2211" priority="2201" stopIfTrue="1">
      <formula>AND(NOT($C30=""),J30="")</formula>
    </cfRule>
    <cfRule type="expression" dxfId="2210" priority="2202" stopIfTrue="1">
      <formula>BK30="0"</formula>
    </cfRule>
  </conditionalFormatting>
  <conditionalFormatting sqref="K30">
    <cfRule type="expression" dxfId="2209" priority="2199" stopIfTrue="1">
      <formula>AND(NOT($C30=""),K30="")</formula>
    </cfRule>
    <cfRule type="expression" dxfId="2208" priority="2200" stopIfTrue="1">
      <formula>BP30="0"</formula>
    </cfRule>
  </conditionalFormatting>
  <conditionalFormatting sqref="L30">
    <cfRule type="expression" dxfId="2207" priority="2197" stopIfTrue="1">
      <formula>AND(NOT($C30=""),L30="")</formula>
    </cfRule>
    <cfRule type="expression" dxfId="2206" priority="2198" stopIfTrue="1">
      <formula>BU30="0"</formula>
    </cfRule>
  </conditionalFormatting>
  <conditionalFormatting sqref="N30">
    <cfRule type="expression" dxfId="2205" priority="2195" stopIfTrue="1">
      <formula>AND(NOT($C30=""),N30="")</formula>
    </cfRule>
    <cfRule type="expression" dxfId="2204" priority="2196" stopIfTrue="1">
      <formula>CE30="0"</formula>
    </cfRule>
  </conditionalFormatting>
  <conditionalFormatting sqref="M30">
    <cfRule type="expression" dxfId="2203" priority="2194" stopIfTrue="1">
      <formula>BZ30="0"</formula>
    </cfRule>
  </conditionalFormatting>
  <conditionalFormatting sqref="D30">
    <cfRule type="expression" dxfId="2202" priority="2192" stopIfTrue="1">
      <formula>AND(NOT($C30=""),D30="")</formula>
    </cfRule>
    <cfRule type="expression" dxfId="2201" priority="2193" stopIfTrue="1">
      <formula>AG30="0"</formula>
    </cfRule>
  </conditionalFormatting>
  <conditionalFormatting sqref="E30">
    <cfRule type="expression" dxfId="2200" priority="2190" stopIfTrue="1">
      <formula>AND(NOT($C30=""),E30="")</formula>
    </cfRule>
    <cfRule type="expression" dxfId="2199" priority="2191" stopIfTrue="1">
      <formula>AL30="0"</formula>
    </cfRule>
  </conditionalFormatting>
  <conditionalFormatting sqref="F30">
    <cfRule type="expression" dxfId="2198" priority="2188" stopIfTrue="1">
      <formula>AND(NOT($C30=""),F30="")</formula>
    </cfRule>
    <cfRule type="expression" dxfId="2197" priority="2189" stopIfTrue="1">
      <formula>AQ30="0"</formula>
    </cfRule>
  </conditionalFormatting>
  <conditionalFormatting sqref="G30">
    <cfRule type="expression" dxfId="2196" priority="2186" stopIfTrue="1">
      <formula>AND(NOT($C30=""),G30="")</formula>
    </cfRule>
    <cfRule type="expression" dxfId="2195" priority="2187" stopIfTrue="1">
      <formula>AV30="0"</formula>
    </cfRule>
  </conditionalFormatting>
  <conditionalFormatting sqref="H30">
    <cfRule type="expression" dxfId="2194" priority="2184" stopIfTrue="1">
      <formula>AND(NOT($C30=""),H30="")</formula>
    </cfRule>
    <cfRule type="expression" dxfId="2193" priority="2185" stopIfTrue="1">
      <formula>BA30="0"</formula>
    </cfRule>
  </conditionalFormatting>
  <conditionalFormatting sqref="I30">
    <cfRule type="expression" dxfId="2192" priority="2182" stopIfTrue="1">
      <formula>AND(NOT($C30=""),I30="")</formula>
    </cfRule>
    <cfRule type="expression" dxfId="2191" priority="2183" stopIfTrue="1">
      <formula>BF30="0"</formula>
    </cfRule>
  </conditionalFormatting>
  <conditionalFormatting sqref="J30">
    <cfRule type="expression" dxfId="2190" priority="2180" stopIfTrue="1">
      <formula>AND(NOT($C30=""),J30="")</formula>
    </cfRule>
    <cfRule type="expression" dxfId="2189" priority="2181" stopIfTrue="1">
      <formula>BK30="0"</formula>
    </cfRule>
  </conditionalFormatting>
  <conditionalFormatting sqref="K30">
    <cfRule type="expression" dxfId="2188" priority="2178" stopIfTrue="1">
      <formula>AND(NOT($C30=""),K30="")</formula>
    </cfRule>
    <cfRule type="expression" dxfId="2187" priority="2179" stopIfTrue="1">
      <formula>BP30="0"</formula>
    </cfRule>
  </conditionalFormatting>
  <conditionalFormatting sqref="L30">
    <cfRule type="expression" dxfId="2186" priority="2176" stopIfTrue="1">
      <formula>AND(NOT($C30=""),L30="")</formula>
    </cfRule>
    <cfRule type="expression" dxfId="2185" priority="2177" stopIfTrue="1">
      <formula>BU30="0"</formula>
    </cfRule>
  </conditionalFormatting>
  <conditionalFormatting sqref="N30">
    <cfRule type="expression" dxfId="2184" priority="2174" stopIfTrue="1">
      <formula>AND(NOT($C30=""),N30="")</formula>
    </cfRule>
    <cfRule type="expression" dxfId="2183" priority="2175" stopIfTrue="1">
      <formula>CE30="0"</formula>
    </cfRule>
  </conditionalFormatting>
  <conditionalFormatting sqref="M30">
    <cfRule type="expression" dxfId="2182" priority="2173" stopIfTrue="1">
      <formula>BZ30="0"</formula>
    </cfRule>
  </conditionalFormatting>
  <conditionalFormatting sqref="D30">
    <cfRule type="expression" dxfId="2181" priority="2171" stopIfTrue="1">
      <formula>AND(NOT($C30=""),D30="")</formula>
    </cfRule>
    <cfRule type="expression" dxfId="2180" priority="2172" stopIfTrue="1">
      <formula>AG30="0"</formula>
    </cfRule>
  </conditionalFormatting>
  <conditionalFormatting sqref="E30">
    <cfRule type="expression" dxfId="2179" priority="2169" stopIfTrue="1">
      <formula>AND(NOT($C30=""),E30="")</formula>
    </cfRule>
    <cfRule type="expression" dxfId="2178" priority="2170" stopIfTrue="1">
      <formula>AL30="0"</formula>
    </cfRule>
  </conditionalFormatting>
  <conditionalFormatting sqref="F30">
    <cfRule type="expression" dxfId="2177" priority="2167" stopIfTrue="1">
      <formula>AND(NOT($C30=""),F30="")</formula>
    </cfRule>
    <cfRule type="expression" dxfId="2176" priority="2168" stopIfTrue="1">
      <formula>AQ30="0"</formula>
    </cfRule>
  </conditionalFormatting>
  <conditionalFormatting sqref="G30">
    <cfRule type="expression" dxfId="2175" priority="2165" stopIfTrue="1">
      <formula>AND(NOT($C30=""),G30="")</formula>
    </cfRule>
    <cfRule type="expression" dxfId="2174" priority="2166" stopIfTrue="1">
      <formula>AV30="0"</formula>
    </cfRule>
  </conditionalFormatting>
  <conditionalFormatting sqref="H30">
    <cfRule type="expression" dxfId="2173" priority="2163" stopIfTrue="1">
      <formula>AND(NOT($C30=""),H30="")</formula>
    </cfRule>
    <cfRule type="expression" dxfId="2172" priority="2164" stopIfTrue="1">
      <formula>BA30="0"</formula>
    </cfRule>
  </conditionalFormatting>
  <conditionalFormatting sqref="I30">
    <cfRule type="expression" dxfId="2171" priority="2161" stopIfTrue="1">
      <formula>AND(NOT($C30=""),I30="")</formula>
    </cfRule>
    <cfRule type="expression" dxfId="2170" priority="2162" stopIfTrue="1">
      <formula>BF30="0"</formula>
    </cfRule>
  </conditionalFormatting>
  <conditionalFormatting sqref="J30">
    <cfRule type="expression" dxfId="2169" priority="2159" stopIfTrue="1">
      <formula>AND(NOT($C30=""),J30="")</formula>
    </cfRule>
    <cfRule type="expression" dxfId="2168" priority="2160" stopIfTrue="1">
      <formula>BK30="0"</formula>
    </cfRule>
  </conditionalFormatting>
  <conditionalFormatting sqref="K30">
    <cfRule type="expression" dxfId="2167" priority="2157" stopIfTrue="1">
      <formula>AND(NOT($C30=""),K30="")</formula>
    </cfRule>
    <cfRule type="expression" dxfId="2166" priority="2158" stopIfTrue="1">
      <formula>BP30="0"</formula>
    </cfRule>
  </conditionalFormatting>
  <conditionalFormatting sqref="L30">
    <cfRule type="expression" dxfId="2165" priority="2155" stopIfTrue="1">
      <formula>AND(NOT($C30=""),L30="")</formula>
    </cfRule>
    <cfRule type="expression" dxfId="2164" priority="2156" stopIfTrue="1">
      <formula>BU30="0"</formula>
    </cfRule>
  </conditionalFormatting>
  <conditionalFormatting sqref="N30">
    <cfRule type="expression" dxfId="2163" priority="2153" stopIfTrue="1">
      <formula>AND(NOT($C30=""),N30="")</formula>
    </cfRule>
    <cfRule type="expression" dxfId="2162" priority="2154" stopIfTrue="1">
      <formula>CE30="0"</formula>
    </cfRule>
  </conditionalFormatting>
  <conditionalFormatting sqref="M30">
    <cfRule type="expression" dxfId="2161" priority="2152" stopIfTrue="1">
      <formula>BZ30="0"</formula>
    </cfRule>
  </conditionalFormatting>
  <conditionalFormatting sqref="D30">
    <cfRule type="expression" dxfId="2160" priority="2150" stopIfTrue="1">
      <formula>AND(NOT($C30=""),D30="")</formula>
    </cfRule>
    <cfRule type="expression" dxfId="2159" priority="2151" stopIfTrue="1">
      <formula>AG30="0"</formula>
    </cfRule>
  </conditionalFormatting>
  <conditionalFormatting sqref="E30">
    <cfRule type="expression" dxfId="2158" priority="2148" stopIfTrue="1">
      <formula>AND(NOT($C30=""),E30="")</formula>
    </cfRule>
    <cfRule type="expression" dxfId="2157" priority="2149" stopIfTrue="1">
      <formula>AL30="0"</formula>
    </cfRule>
  </conditionalFormatting>
  <conditionalFormatting sqref="F30">
    <cfRule type="expression" dxfId="2156" priority="2146" stopIfTrue="1">
      <formula>AND(NOT($C30=""),F30="")</formula>
    </cfRule>
    <cfRule type="expression" dxfId="2155" priority="2147" stopIfTrue="1">
      <formula>AQ30="0"</formula>
    </cfRule>
  </conditionalFormatting>
  <conditionalFormatting sqref="G30">
    <cfRule type="expression" dxfId="2154" priority="2144" stopIfTrue="1">
      <formula>AND(NOT($C30=""),G30="")</formula>
    </cfRule>
    <cfRule type="expression" dxfId="2153" priority="2145" stopIfTrue="1">
      <formula>AV30="0"</formula>
    </cfRule>
  </conditionalFormatting>
  <conditionalFormatting sqref="H30">
    <cfRule type="expression" dxfId="2152" priority="2142" stopIfTrue="1">
      <formula>AND(NOT($C30=""),H30="")</formula>
    </cfRule>
    <cfRule type="expression" dxfId="2151" priority="2143" stopIfTrue="1">
      <formula>BA30="0"</formula>
    </cfRule>
  </conditionalFormatting>
  <conditionalFormatting sqref="I30">
    <cfRule type="expression" dxfId="2150" priority="2140" stopIfTrue="1">
      <formula>AND(NOT($C30=""),I30="")</formula>
    </cfRule>
    <cfRule type="expression" dxfId="2149" priority="2141" stopIfTrue="1">
      <formula>BF30="0"</formula>
    </cfRule>
  </conditionalFormatting>
  <conditionalFormatting sqref="J30">
    <cfRule type="expression" dxfId="2148" priority="2138" stopIfTrue="1">
      <formula>AND(NOT($C30=""),J30="")</formula>
    </cfRule>
    <cfRule type="expression" dxfId="2147" priority="2139" stopIfTrue="1">
      <formula>BK30="0"</formula>
    </cfRule>
  </conditionalFormatting>
  <conditionalFormatting sqref="K30">
    <cfRule type="expression" dxfId="2146" priority="2136" stopIfTrue="1">
      <formula>AND(NOT($C30=""),K30="")</formula>
    </cfRule>
    <cfRule type="expression" dxfId="2145" priority="2137" stopIfTrue="1">
      <formula>BP30="0"</formula>
    </cfRule>
  </conditionalFormatting>
  <conditionalFormatting sqref="L30">
    <cfRule type="expression" dxfId="2144" priority="2134" stopIfTrue="1">
      <formula>AND(NOT($C30=""),L30="")</formula>
    </cfRule>
    <cfRule type="expression" dxfId="2143" priority="2135" stopIfTrue="1">
      <formula>BU30="0"</formula>
    </cfRule>
  </conditionalFormatting>
  <conditionalFormatting sqref="N30">
    <cfRule type="expression" dxfId="2142" priority="2132" stopIfTrue="1">
      <formula>AND(NOT($C30=""),N30="")</formula>
    </cfRule>
    <cfRule type="expression" dxfId="2141" priority="2133" stopIfTrue="1">
      <formula>CE30="0"</formula>
    </cfRule>
  </conditionalFormatting>
  <conditionalFormatting sqref="M12">
    <cfRule type="expression" dxfId="2140" priority="2131" stopIfTrue="1">
      <formula>BZ12="0"</formula>
    </cfRule>
  </conditionalFormatting>
  <conditionalFormatting sqref="E12">
    <cfRule type="expression" dxfId="2139" priority="2129" stopIfTrue="1">
      <formula>AND(NOT($C12=""),E12="")</formula>
    </cfRule>
    <cfRule type="expression" dxfId="2138" priority="2130" stopIfTrue="1">
      <formula>AL12="0"</formula>
    </cfRule>
  </conditionalFormatting>
  <conditionalFormatting sqref="F12">
    <cfRule type="expression" dxfId="2137" priority="2127" stopIfTrue="1">
      <formula>AND(NOT($C12=""),F12="")</formula>
    </cfRule>
    <cfRule type="expression" dxfId="2136" priority="2128" stopIfTrue="1">
      <formula>AQ12="0"</formula>
    </cfRule>
  </conditionalFormatting>
  <conditionalFormatting sqref="G12">
    <cfRule type="expression" dxfId="2135" priority="2125" stopIfTrue="1">
      <formula>AND(NOT($C12=""),G12="")</formula>
    </cfRule>
    <cfRule type="expression" dxfId="2134" priority="2126" stopIfTrue="1">
      <formula>AV12="0"</formula>
    </cfRule>
  </conditionalFormatting>
  <conditionalFormatting sqref="H12">
    <cfRule type="expression" dxfId="2133" priority="2123" stopIfTrue="1">
      <formula>AND(NOT($C12=""),H12="")</formula>
    </cfRule>
    <cfRule type="expression" dxfId="2132" priority="2124" stopIfTrue="1">
      <formula>BA12="0"</formula>
    </cfRule>
  </conditionalFormatting>
  <conditionalFormatting sqref="I12">
    <cfRule type="expression" dxfId="2131" priority="2121" stopIfTrue="1">
      <formula>AND(NOT($C12=""),I12="")</formula>
    </cfRule>
    <cfRule type="expression" dxfId="2130" priority="2122" stopIfTrue="1">
      <formula>BF12="0"</formula>
    </cfRule>
  </conditionalFormatting>
  <conditionalFormatting sqref="J12">
    <cfRule type="expression" dxfId="2129" priority="2119" stopIfTrue="1">
      <formula>AND(NOT($C12=""),J12="")</formula>
    </cfRule>
    <cfRule type="expression" dxfId="2128" priority="2120" stopIfTrue="1">
      <formula>BK12="0"</formula>
    </cfRule>
  </conditionalFormatting>
  <conditionalFormatting sqref="K12">
    <cfRule type="expression" dxfId="2127" priority="2117" stopIfTrue="1">
      <formula>AND(NOT($C12=""),K12="")</formula>
    </cfRule>
    <cfRule type="expression" dxfId="2126" priority="2118" stopIfTrue="1">
      <formula>BP12="0"</formula>
    </cfRule>
  </conditionalFormatting>
  <conditionalFormatting sqref="L12">
    <cfRule type="expression" dxfId="2125" priority="2115" stopIfTrue="1">
      <formula>AND(NOT($C12=""),L12="")</formula>
    </cfRule>
    <cfRule type="expression" dxfId="2124" priority="2116" stopIfTrue="1">
      <formula>BU12="0"</formula>
    </cfRule>
  </conditionalFormatting>
  <conditionalFormatting sqref="N12">
    <cfRule type="expression" dxfId="2123" priority="2113" stopIfTrue="1">
      <formula>AND(NOT($C12=""),N12="")</formula>
    </cfRule>
    <cfRule type="expression" dxfId="2122" priority="2114" stopIfTrue="1">
      <formula>CE12="0"</formula>
    </cfRule>
  </conditionalFormatting>
  <conditionalFormatting sqref="M12">
    <cfRule type="expression" dxfId="2121" priority="2112" stopIfTrue="1">
      <formula>BZ12="0"</formula>
    </cfRule>
  </conditionalFormatting>
  <conditionalFormatting sqref="E12">
    <cfRule type="expression" dxfId="2120" priority="2110" stopIfTrue="1">
      <formula>AND(NOT($C12=""),E12="")</formula>
    </cfRule>
    <cfRule type="expression" dxfId="2119" priority="2111" stopIfTrue="1">
      <formula>AL12="0"</formula>
    </cfRule>
  </conditionalFormatting>
  <conditionalFormatting sqref="F12">
    <cfRule type="expression" dxfId="2118" priority="2108" stopIfTrue="1">
      <formula>AND(NOT($C12=""),F12="")</formula>
    </cfRule>
    <cfRule type="expression" dxfId="2117" priority="2109" stopIfTrue="1">
      <formula>AQ12="0"</formula>
    </cfRule>
  </conditionalFormatting>
  <conditionalFormatting sqref="G12">
    <cfRule type="expression" dxfId="2116" priority="2106" stopIfTrue="1">
      <formula>AND(NOT($C12=""),G12="")</formula>
    </cfRule>
    <cfRule type="expression" dxfId="2115" priority="2107" stopIfTrue="1">
      <formula>AV12="0"</formula>
    </cfRule>
  </conditionalFormatting>
  <conditionalFormatting sqref="H12">
    <cfRule type="expression" dxfId="2114" priority="2104" stopIfTrue="1">
      <formula>AND(NOT($C12=""),H12="")</formula>
    </cfRule>
    <cfRule type="expression" dxfId="2113" priority="2105" stopIfTrue="1">
      <formula>BA12="0"</formula>
    </cfRule>
  </conditionalFormatting>
  <conditionalFormatting sqref="I12">
    <cfRule type="expression" dxfId="2112" priority="2102" stopIfTrue="1">
      <formula>AND(NOT($C12=""),I12="")</formula>
    </cfRule>
    <cfRule type="expression" dxfId="2111" priority="2103" stopIfTrue="1">
      <formula>BF12="0"</formula>
    </cfRule>
  </conditionalFormatting>
  <conditionalFormatting sqref="J12">
    <cfRule type="expression" dxfId="2110" priority="2100" stopIfTrue="1">
      <formula>AND(NOT($C12=""),J12="")</formula>
    </cfRule>
    <cfRule type="expression" dxfId="2109" priority="2101" stopIfTrue="1">
      <formula>BK12="0"</formula>
    </cfRule>
  </conditionalFormatting>
  <conditionalFormatting sqref="K12">
    <cfRule type="expression" dxfId="2108" priority="2098" stopIfTrue="1">
      <formula>AND(NOT($C12=""),K12="")</formula>
    </cfRule>
    <cfRule type="expression" dxfId="2107" priority="2099" stopIfTrue="1">
      <formula>BP12="0"</formula>
    </cfRule>
  </conditionalFormatting>
  <conditionalFormatting sqref="L12">
    <cfRule type="expression" dxfId="2106" priority="2096" stopIfTrue="1">
      <formula>AND(NOT($C12=""),L12="")</formula>
    </cfRule>
    <cfRule type="expression" dxfId="2105" priority="2097" stopIfTrue="1">
      <formula>BU12="0"</formula>
    </cfRule>
  </conditionalFormatting>
  <conditionalFormatting sqref="N12">
    <cfRule type="expression" dxfId="2104" priority="2094" stopIfTrue="1">
      <formula>AND(NOT($C12=""),N12="")</formula>
    </cfRule>
    <cfRule type="expression" dxfId="2103" priority="2095" stopIfTrue="1">
      <formula>CE12="0"</formula>
    </cfRule>
  </conditionalFormatting>
  <conditionalFormatting sqref="M12">
    <cfRule type="expression" dxfId="2102" priority="2093" stopIfTrue="1">
      <formula>BZ12="0"</formula>
    </cfRule>
  </conditionalFormatting>
  <conditionalFormatting sqref="E12">
    <cfRule type="expression" dxfId="2101" priority="2091" stopIfTrue="1">
      <formula>AND(NOT($C12=""),E12="")</formula>
    </cfRule>
    <cfRule type="expression" dxfId="2100" priority="2092" stopIfTrue="1">
      <formula>AL12="0"</formula>
    </cfRule>
  </conditionalFormatting>
  <conditionalFormatting sqref="F12">
    <cfRule type="expression" dxfId="2099" priority="2089" stopIfTrue="1">
      <formula>AND(NOT($C12=""),F12="")</formula>
    </cfRule>
    <cfRule type="expression" dxfId="2098" priority="2090" stopIfTrue="1">
      <formula>AQ12="0"</formula>
    </cfRule>
  </conditionalFormatting>
  <conditionalFormatting sqref="G12">
    <cfRule type="expression" dxfId="2097" priority="2087" stopIfTrue="1">
      <formula>AND(NOT($C12=""),G12="")</formula>
    </cfRule>
    <cfRule type="expression" dxfId="2096" priority="2088" stopIfTrue="1">
      <formula>AV12="0"</formula>
    </cfRule>
  </conditionalFormatting>
  <conditionalFormatting sqref="H12">
    <cfRule type="expression" dxfId="2095" priority="2085" stopIfTrue="1">
      <formula>AND(NOT($C12=""),H12="")</formula>
    </cfRule>
    <cfRule type="expression" dxfId="2094" priority="2086" stopIfTrue="1">
      <formula>BA12="0"</formula>
    </cfRule>
  </conditionalFormatting>
  <conditionalFormatting sqref="I12">
    <cfRule type="expression" dxfId="2093" priority="2083" stopIfTrue="1">
      <formula>AND(NOT($C12=""),I12="")</formula>
    </cfRule>
    <cfRule type="expression" dxfId="2092" priority="2084" stopIfTrue="1">
      <formula>BF12="0"</formula>
    </cfRule>
  </conditionalFormatting>
  <conditionalFormatting sqref="J12">
    <cfRule type="expression" dxfId="2091" priority="2081" stopIfTrue="1">
      <formula>AND(NOT($C12=""),J12="")</formula>
    </cfRule>
    <cfRule type="expression" dxfId="2090" priority="2082" stopIfTrue="1">
      <formula>BK12="0"</formula>
    </cfRule>
  </conditionalFormatting>
  <conditionalFormatting sqref="K12">
    <cfRule type="expression" dxfId="2089" priority="2079" stopIfTrue="1">
      <formula>AND(NOT($C12=""),K12="")</formula>
    </cfRule>
    <cfRule type="expression" dxfId="2088" priority="2080" stopIfTrue="1">
      <formula>BP12="0"</formula>
    </cfRule>
  </conditionalFormatting>
  <conditionalFormatting sqref="L12">
    <cfRule type="expression" dxfId="2087" priority="2077" stopIfTrue="1">
      <formula>AND(NOT($C12=""),L12="")</formula>
    </cfRule>
    <cfRule type="expression" dxfId="2086" priority="2078" stopIfTrue="1">
      <formula>BU12="0"</formula>
    </cfRule>
  </conditionalFormatting>
  <conditionalFormatting sqref="N12">
    <cfRule type="expression" dxfId="2085" priority="2075" stopIfTrue="1">
      <formula>AND(NOT($C12=""),N12="")</formula>
    </cfRule>
    <cfRule type="expression" dxfId="2084" priority="2076" stopIfTrue="1">
      <formula>CE12="0"</formula>
    </cfRule>
  </conditionalFormatting>
  <conditionalFormatting sqref="M12">
    <cfRule type="expression" dxfId="2083" priority="2074" stopIfTrue="1">
      <formula>BZ12="0"</formula>
    </cfRule>
  </conditionalFormatting>
  <conditionalFormatting sqref="E12">
    <cfRule type="expression" dxfId="2082" priority="2072" stopIfTrue="1">
      <formula>AND(NOT($C12=""),E12="")</formula>
    </cfRule>
    <cfRule type="expression" dxfId="2081" priority="2073" stopIfTrue="1">
      <formula>AL12="0"</formula>
    </cfRule>
  </conditionalFormatting>
  <conditionalFormatting sqref="F12">
    <cfRule type="expression" dxfId="2080" priority="2070" stopIfTrue="1">
      <formula>AND(NOT($C12=""),F12="")</formula>
    </cfRule>
    <cfRule type="expression" dxfId="2079" priority="2071" stopIfTrue="1">
      <formula>AQ12="0"</formula>
    </cfRule>
  </conditionalFormatting>
  <conditionalFormatting sqref="G12">
    <cfRule type="expression" dxfId="2078" priority="2068" stopIfTrue="1">
      <formula>AND(NOT($C12=""),G12="")</formula>
    </cfRule>
    <cfRule type="expression" dxfId="2077" priority="2069" stopIfTrue="1">
      <formula>AV12="0"</formula>
    </cfRule>
  </conditionalFormatting>
  <conditionalFormatting sqref="H12">
    <cfRule type="expression" dxfId="2076" priority="2066" stopIfTrue="1">
      <formula>AND(NOT($C12=""),H12="")</formula>
    </cfRule>
    <cfRule type="expression" dxfId="2075" priority="2067" stopIfTrue="1">
      <formula>BA12="0"</formula>
    </cfRule>
  </conditionalFormatting>
  <conditionalFormatting sqref="I12">
    <cfRule type="expression" dxfId="2074" priority="2064" stopIfTrue="1">
      <formula>AND(NOT($C12=""),I12="")</formula>
    </cfRule>
    <cfRule type="expression" dxfId="2073" priority="2065" stopIfTrue="1">
      <formula>BF12="0"</formula>
    </cfRule>
  </conditionalFormatting>
  <conditionalFormatting sqref="J12">
    <cfRule type="expression" dxfId="2072" priority="2062" stopIfTrue="1">
      <formula>AND(NOT($C12=""),J12="")</formula>
    </cfRule>
    <cfRule type="expression" dxfId="2071" priority="2063" stopIfTrue="1">
      <formula>BK12="0"</formula>
    </cfRule>
  </conditionalFormatting>
  <conditionalFormatting sqref="K12">
    <cfRule type="expression" dxfId="2070" priority="2060" stopIfTrue="1">
      <formula>AND(NOT($C12=""),K12="")</formula>
    </cfRule>
    <cfRule type="expression" dxfId="2069" priority="2061" stopIfTrue="1">
      <formula>BP12="0"</formula>
    </cfRule>
  </conditionalFormatting>
  <conditionalFormatting sqref="L12">
    <cfRule type="expression" dxfId="2068" priority="2058" stopIfTrue="1">
      <formula>AND(NOT($C12=""),L12="")</formula>
    </cfRule>
    <cfRule type="expression" dxfId="2067" priority="2059" stopIfTrue="1">
      <formula>BU12="0"</formula>
    </cfRule>
  </conditionalFormatting>
  <conditionalFormatting sqref="N12">
    <cfRule type="expression" dxfId="2066" priority="2056" stopIfTrue="1">
      <formula>AND(NOT($C12=""),N12="")</formula>
    </cfRule>
    <cfRule type="expression" dxfId="2065" priority="2057" stopIfTrue="1">
      <formula>CE12="0"</formula>
    </cfRule>
  </conditionalFormatting>
  <conditionalFormatting sqref="M12">
    <cfRule type="expression" dxfId="2064" priority="2055" stopIfTrue="1">
      <formula>BZ12="0"</formula>
    </cfRule>
  </conditionalFormatting>
  <conditionalFormatting sqref="E12">
    <cfRule type="expression" dxfId="2063" priority="2053" stopIfTrue="1">
      <formula>AND(NOT($C12=""),E12="")</formula>
    </cfRule>
    <cfRule type="expression" dxfId="2062" priority="2054" stopIfTrue="1">
      <formula>AL12="0"</formula>
    </cfRule>
  </conditionalFormatting>
  <conditionalFormatting sqref="F12">
    <cfRule type="expression" dxfId="2061" priority="2051" stopIfTrue="1">
      <formula>AND(NOT($C12=""),F12="")</formula>
    </cfRule>
    <cfRule type="expression" dxfId="2060" priority="2052" stopIfTrue="1">
      <formula>AQ12="0"</formula>
    </cfRule>
  </conditionalFormatting>
  <conditionalFormatting sqref="G12">
    <cfRule type="expression" dxfId="2059" priority="2049" stopIfTrue="1">
      <formula>AND(NOT($C12=""),G12="")</formula>
    </cfRule>
    <cfRule type="expression" dxfId="2058" priority="2050" stopIfTrue="1">
      <formula>AV12="0"</formula>
    </cfRule>
  </conditionalFormatting>
  <conditionalFormatting sqref="H12">
    <cfRule type="expression" dxfId="2057" priority="2047" stopIfTrue="1">
      <formula>AND(NOT($C12=""),H12="")</formula>
    </cfRule>
    <cfRule type="expression" dxfId="2056" priority="2048" stopIfTrue="1">
      <formula>BA12="0"</formula>
    </cfRule>
  </conditionalFormatting>
  <conditionalFormatting sqref="I12">
    <cfRule type="expression" dxfId="2055" priority="2045" stopIfTrue="1">
      <formula>AND(NOT($C12=""),I12="")</formula>
    </cfRule>
    <cfRule type="expression" dxfId="2054" priority="2046" stopIfTrue="1">
      <formula>BF12="0"</formula>
    </cfRule>
  </conditionalFormatting>
  <conditionalFormatting sqref="J12">
    <cfRule type="expression" dxfId="2053" priority="2043" stopIfTrue="1">
      <formula>AND(NOT($C12=""),J12="")</formula>
    </cfRule>
    <cfRule type="expression" dxfId="2052" priority="2044" stopIfTrue="1">
      <formula>BK12="0"</formula>
    </cfRule>
  </conditionalFormatting>
  <conditionalFormatting sqref="K12">
    <cfRule type="expression" dxfId="2051" priority="2041" stopIfTrue="1">
      <formula>AND(NOT($C12=""),K12="")</formula>
    </cfRule>
    <cfRule type="expression" dxfId="2050" priority="2042" stopIfTrue="1">
      <formula>BP12="0"</formula>
    </cfRule>
  </conditionalFormatting>
  <conditionalFormatting sqref="L12">
    <cfRule type="expression" dxfId="2049" priority="2039" stopIfTrue="1">
      <formula>AND(NOT($C12=""),L12="")</formula>
    </cfRule>
    <cfRule type="expression" dxfId="2048" priority="2040" stopIfTrue="1">
      <formula>BU12="0"</formula>
    </cfRule>
  </conditionalFormatting>
  <conditionalFormatting sqref="N12">
    <cfRule type="expression" dxfId="2047" priority="2037" stopIfTrue="1">
      <formula>AND(NOT($C12=""),N12="")</formula>
    </cfRule>
    <cfRule type="expression" dxfId="2046" priority="2038" stopIfTrue="1">
      <formula>CE12="0"</formula>
    </cfRule>
  </conditionalFormatting>
  <conditionalFormatting sqref="M31">
    <cfRule type="expression" dxfId="2045" priority="2036" stopIfTrue="1">
      <formula>BZ31="0"</formula>
    </cfRule>
  </conditionalFormatting>
  <conditionalFormatting sqref="D31">
    <cfRule type="expression" dxfId="2044" priority="2034" stopIfTrue="1">
      <formula>AND(NOT($C31=""),D31="")</formula>
    </cfRule>
    <cfRule type="expression" dxfId="2043" priority="2035" stopIfTrue="1">
      <formula>AG31="0"</formula>
    </cfRule>
  </conditionalFormatting>
  <conditionalFormatting sqref="E31">
    <cfRule type="expression" dxfId="2042" priority="2032" stopIfTrue="1">
      <formula>AND(NOT($C31=""),E31="")</formula>
    </cfRule>
    <cfRule type="expression" dxfId="2041" priority="2033" stopIfTrue="1">
      <formula>AL31="0"</formula>
    </cfRule>
  </conditionalFormatting>
  <conditionalFormatting sqref="F31">
    <cfRule type="expression" dxfId="2040" priority="2030" stopIfTrue="1">
      <formula>AND(NOT($C31=""),F31="")</formula>
    </cfRule>
    <cfRule type="expression" dxfId="2039" priority="2031" stopIfTrue="1">
      <formula>AQ31="0"</formula>
    </cfRule>
  </conditionalFormatting>
  <conditionalFormatting sqref="G31">
    <cfRule type="expression" dxfId="2038" priority="2028" stopIfTrue="1">
      <formula>AND(NOT($C31=""),G31="")</formula>
    </cfRule>
    <cfRule type="expression" dxfId="2037" priority="2029" stopIfTrue="1">
      <formula>AV31="0"</formula>
    </cfRule>
  </conditionalFormatting>
  <conditionalFormatting sqref="H31">
    <cfRule type="expression" dxfId="2036" priority="2026" stopIfTrue="1">
      <formula>AND(NOT($C31=""),H31="")</formula>
    </cfRule>
    <cfRule type="expression" dxfId="2035" priority="2027" stopIfTrue="1">
      <formula>BA31="0"</formula>
    </cfRule>
  </conditionalFormatting>
  <conditionalFormatting sqref="I31">
    <cfRule type="expression" dxfId="2034" priority="2024" stopIfTrue="1">
      <formula>AND(NOT($C31=""),I31="")</formula>
    </cfRule>
    <cfRule type="expression" dxfId="2033" priority="2025" stopIfTrue="1">
      <formula>BF31="0"</formula>
    </cfRule>
  </conditionalFormatting>
  <conditionalFormatting sqref="J31">
    <cfRule type="expression" dxfId="2032" priority="2022" stopIfTrue="1">
      <formula>AND(NOT($C31=""),J31="")</formula>
    </cfRule>
    <cfRule type="expression" dxfId="2031" priority="2023" stopIfTrue="1">
      <formula>BK31="0"</formula>
    </cfRule>
  </conditionalFormatting>
  <conditionalFormatting sqref="K31">
    <cfRule type="expression" dxfId="2030" priority="2020" stopIfTrue="1">
      <formula>AND(NOT($C31=""),K31="")</formula>
    </cfRule>
    <cfRule type="expression" dxfId="2029" priority="2021" stopIfTrue="1">
      <formula>BP31="0"</formula>
    </cfRule>
  </conditionalFormatting>
  <conditionalFormatting sqref="L31">
    <cfRule type="expression" dxfId="2028" priority="2018" stopIfTrue="1">
      <formula>AND(NOT($C31=""),L31="")</formula>
    </cfRule>
    <cfRule type="expression" dxfId="2027" priority="2019" stopIfTrue="1">
      <formula>BU31="0"</formula>
    </cfRule>
  </conditionalFormatting>
  <conditionalFormatting sqref="N31">
    <cfRule type="expression" dxfId="2026" priority="2016" stopIfTrue="1">
      <formula>AND(NOT($C31=""),N31="")</formula>
    </cfRule>
    <cfRule type="expression" dxfId="2025" priority="2017" stopIfTrue="1">
      <formula>CE31="0"</formula>
    </cfRule>
  </conditionalFormatting>
  <conditionalFormatting sqref="M31">
    <cfRule type="expression" dxfId="2024" priority="2015" stopIfTrue="1">
      <formula>BZ31="0"</formula>
    </cfRule>
  </conditionalFormatting>
  <conditionalFormatting sqref="D31">
    <cfRule type="expression" dxfId="2023" priority="2013" stopIfTrue="1">
      <formula>AND(NOT($C31=""),D31="")</formula>
    </cfRule>
    <cfRule type="expression" dxfId="2022" priority="2014" stopIfTrue="1">
      <formula>AG31="0"</formula>
    </cfRule>
  </conditionalFormatting>
  <conditionalFormatting sqref="E31">
    <cfRule type="expression" dxfId="2021" priority="2011" stopIfTrue="1">
      <formula>AND(NOT($C31=""),E31="")</formula>
    </cfRule>
    <cfRule type="expression" dxfId="2020" priority="2012" stopIfTrue="1">
      <formula>AL31="0"</formula>
    </cfRule>
  </conditionalFormatting>
  <conditionalFormatting sqref="F31">
    <cfRule type="expression" dxfId="2019" priority="2009" stopIfTrue="1">
      <formula>AND(NOT($C31=""),F31="")</formula>
    </cfRule>
    <cfRule type="expression" dxfId="2018" priority="2010" stopIfTrue="1">
      <formula>AQ31="0"</formula>
    </cfRule>
  </conditionalFormatting>
  <conditionalFormatting sqref="G31">
    <cfRule type="expression" dxfId="2017" priority="2007" stopIfTrue="1">
      <formula>AND(NOT($C31=""),G31="")</formula>
    </cfRule>
    <cfRule type="expression" dxfId="2016" priority="2008" stopIfTrue="1">
      <formula>AV31="0"</formula>
    </cfRule>
  </conditionalFormatting>
  <conditionalFormatting sqref="H31">
    <cfRule type="expression" dxfId="2015" priority="2005" stopIfTrue="1">
      <formula>AND(NOT($C31=""),H31="")</formula>
    </cfRule>
    <cfRule type="expression" dxfId="2014" priority="2006" stopIfTrue="1">
      <formula>BA31="0"</formula>
    </cfRule>
  </conditionalFormatting>
  <conditionalFormatting sqref="I31">
    <cfRule type="expression" dxfId="2013" priority="2003" stopIfTrue="1">
      <formula>AND(NOT($C31=""),I31="")</formula>
    </cfRule>
    <cfRule type="expression" dxfId="2012" priority="2004" stopIfTrue="1">
      <formula>BF31="0"</formula>
    </cfRule>
  </conditionalFormatting>
  <conditionalFormatting sqref="J31">
    <cfRule type="expression" dxfId="2011" priority="2001" stopIfTrue="1">
      <formula>AND(NOT($C31=""),J31="")</formula>
    </cfRule>
    <cfRule type="expression" dxfId="2010" priority="2002" stopIfTrue="1">
      <formula>BK31="0"</formula>
    </cfRule>
  </conditionalFormatting>
  <conditionalFormatting sqref="K31">
    <cfRule type="expression" dxfId="2009" priority="1999" stopIfTrue="1">
      <formula>AND(NOT($C31=""),K31="")</formula>
    </cfRule>
    <cfRule type="expression" dxfId="2008" priority="2000" stopIfTrue="1">
      <formula>BP31="0"</formula>
    </cfRule>
  </conditionalFormatting>
  <conditionalFormatting sqref="L31">
    <cfRule type="expression" dxfId="2007" priority="1997" stopIfTrue="1">
      <formula>AND(NOT($C31=""),L31="")</formula>
    </cfRule>
    <cfRule type="expression" dxfId="2006" priority="1998" stopIfTrue="1">
      <formula>BU31="0"</formula>
    </cfRule>
  </conditionalFormatting>
  <conditionalFormatting sqref="N31">
    <cfRule type="expression" dxfId="2005" priority="1995" stopIfTrue="1">
      <formula>AND(NOT($C31=""),N31="")</formula>
    </cfRule>
    <cfRule type="expression" dxfId="2004" priority="1996" stopIfTrue="1">
      <formula>CE31="0"</formula>
    </cfRule>
  </conditionalFormatting>
  <conditionalFormatting sqref="M31">
    <cfRule type="expression" dxfId="2003" priority="1994" stopIfTrue="1">
      <formula>BZ31="0"</formula>
    </cfRule>
  </conditionalFormatting>
  <conditionalFormatting sqref="D31">
    <cfRule type="expression" dxfId="2002" priority="1992" stopIfTrue="1">
      <formula>AND(NOT($C31=""),D31="")</formula>
    </cfRule>
    <cfRule type="expression" dxfId="2001" priority="1993" stopIfTrue="1">
      <formula>AG31="0"</formula>
    </cfRule>
  </conditionalFormatting>
  <conditionalFormatting sqref="E31">
    <cfRule type="expression" dxfId="2000" priority="1990" stopIfTrue="1">
      <formula>AND(NOT($C31=""),E31="")</formula>
    </cfRule>
    <cfRule type="expression" dxfId="1999" priority="1991" stopIfTrue="1">
      <formula>AL31="0"</formula>
    </cfRule>
  </conditionalFormatting>
  <conditionalFormatting sqref="F31">
    <cfRule type="expression" dxfId="1998" priority="1988" stopIfTrue="1">
      <formula>AND(NOT($C31=""),F31="")</formula>
    </cfRule>
    <cfRule type="expression" dxfId="1997" priority="1989" stopIfTrue="1">
      <formula>AQ31="0"</formula>
    </cfRule>
  </conditionalFormatting>
  <conditionalFormatting sqref="G31">
    <cfRule type="expression" dxfId="1996" priority="1986" stopIfTrue="1">
      <formula>AND(NOT($C31=""),G31="")</formula>
    </cfRule>
    <cfRule type="expression" dxfId="1995" priority="1987" stopIfTrue="1">
      <formula>AV31="0"</formula>
    </cfRule>
  </conditionalFormatting>
  <conditionalFormatting sqref="H31">
    <cfRule type="expression" dxfId="1994" priority="1984" stopIfTrue="1">
      <formula>AND(NOT($C31=""),H31="")</formula>
    </cfRule>
    <cfRule type="expression" dxfId="1993" priority="1985" stopIfTrue="1">
      <formula>BA31="0"</formula>
    </cfRule>
  </conditionalFormatting>
  <conditionalFormatting sqref="I31">
    <cfRule type="expression" dxfId="1992" priority="1982" stopIfTrue="1">
      <formula>AND(NOT($C31=""),I31="")</formula>
    </cfRule>
    <cfRule type="expression" dxfId="1991" priority="1983" stopIfTrue="1">
      <formula>BF31="0"</formula>
    </cfRule>
  </conditionalFormatting>
  <conditionalFormatting sqref="J31">
    <cfRule type="expression" dxfId="1990" priority="1980" stopIfTrue="1">
      <formula>AND(NOT($C31=""),J31="")</formula>
    </cfRule>
    <cfRule type="expression" dxfId="1989" priority="1981" stopIfTrue="1">
      <formula>BK31="0"</formula>
    </cfRule>
  </conditionalFormatting>
  <conditionalFormatting sqref="K31">
    <cfRule type="expression" dxfId="1988" priority="1978" stopIfTrue="1">
      <formula>AND(NOT($C31=""),K31="")</formula>
    </cfRule>
    <cfRule type="expression" dxfId="1987" priority="1979" stopIfTrue="1">
      <formula>BP31="0"</formula>
    </cfRule>
  </conditionalFormatting>
  <conditionalFormatting sqref="L31">
    <cfRule type="expression" dxfId="1986" priority="1976" stopIfTrue="1">
      <formula>AND(NOT($C31=""),L31="")</formula>
    </cfRule>
    <cfRule type="expression" dxfId="1985" priority="1977" stopIfTrue="1">
      <formula>BU31="0"</formula>
    </cfRule>
  </conditionalFormatting>
  <conditionalFormatting sqref="N31">
    <cfRule type="expression" dxfId="1984" priority="1974" stopIfTrue="1">
      <formula>AND(NOT($C31=""),N31="")</formula>
    </cfRule>
    <cfRule type="expression" dxfId="1983" priority="1975" stopIfTrue="1">
      <formula>CE31="0"</formula>
    </cfRule>
  </conditionalFormatting>
  <conditionalFormatting sqref="M31">
    <cfRule type="expression" dxfId="1982" priority="1973" stopIfTrue="1">
      <formula>BZ31="0"</formula>
    </cfRule>
  </conditionalFormatting>
  <conditionalFormatting sqref="D31">
    <cfRule type="expression" dxfId="1981" priority="1971" stopIfTrue="1">
      <formula>AND(NOT($C31=""),D31="")</formula>
    </cfRule>
    <cfRule type="expression" dxfId="1980" priority="1972" stopIfTrue="1">
      <formula>AG31="0"</formula>
    </cfRule>
  </conditionalFormatting>
  <conditionalFormatting sqref="E31">
    <cfRule type="expression" dxfId="1979" priority="1969" stopIfTrue="1">
      <formula>AND(NOT($C31=""),E31="")</formula>
    </cfRule>
    <cfRule type="expression" dxfId="1978" priority="1970" stopIfTrue="1">
      <formula>AL31="0"</formula>
    </cfRule>
  </conditionalFormatting>
  <conditionalFormatting sqref="F31">
    <cfRule type="expression" dxfId="1977" priority="1967" stopIfTrue="1">
      <formula>AND(NOT($C31=""),F31="")</formula>
    </cfRule>
    <cfRule type="expression" dxfId="1976" priority="1968" stopIfTrue="1">
      <formula>AQ31="0"</formula>
    </cfRule>
  </conditionalFormatting>
  <conditionalFormatting sqref="G31">
    <cfRule type="expression" dxfId="1975" priority="1965" stopIfTrue="1">
      <formula>AND(NOT($C31=""),G31="")</formula>
    </cfRule>
    <cfRule type="expression" dxfId="1974" priority="1966" stopIfTrue="1">
      <formula>AV31="0"</formula>
    </cfRule>
  </conditionalFormatting>
  <conditionalFormatting sqref="H31">
    <cfRule type="expression" dxfId="1973" priority="1963" stopIfTrue="1">
      <formula>AND(NOT($C31=""),H31="")</formula>
    </cfRule>
    <cfRule type="expression" dxfId="1972" priority="1964" stopIfTrue="1">
      <formula>BA31="0"</formula>
    </cfRule>
  </conditionalFormatting>
  <conditionalFormatting sqref="I31">
    <cfRule type="expression" dxfId="1971" priority="1961" stopIfTrue="1">
      <formula>AND(NOT($C31=""),I31="")</formula>
    </cfRule>
    <cfRule type="expression" dxfId="1970" priority="1962" stopIfTrue="1">
      <formula>BF31="0"</formula>
    </cfRule>
  </conditionalFormatting>
  <conditionalFormatting sqref="J31">
    <cfRule type="expression" dxfId="1969" priority="1959" stopIfTrue="1">
      <formula>AND(NOT($C31=""),J31="")</formula>
    </cfRule>
    <cfRule type="expression" dxfId="1968" priority="1960" stopIfTrue="1">
      <formula>BK31="0"</formula>
    </cfRule>
  </conditionalFormatting>
  <conditionalFormatting sqref="K31">
    <cfRule type="expression" dxfId="1967" priority="1957" stopIfTrue="1">
      <formula>AND(NOT($C31=""),K31="")</formula>
    </cfRule>
    <cfRule type="expression" dxfId="1966" priority="1958" stopIfTrue="1">
      <formula>BP31="0"</formula>
    </cfRule>
  </conditionalFormatting>
  <conditionalFormatting sqref="L31">
    <cfRule type="expression" dxfId="1965" priority="1955" stopIfTrue="1">
      <formula>AND(NOT($C31=""),L31="")</formula>
    </cfRule>
    <cfRule type="expression" dxfId="1964" priority="1956" stopIfTrue="1">
      <formula>BU31="0"</formula>
    </cfRule>
  </conditionalFormatting>
  <conditionalFormatting sqref="N31">
    <cfRule type="expression" dxfId="1963" priority="1953" stopIfTrue="1">
      <formula>AND(NOT($C31=""),N31="")</formula>
    </cfRule>
    <cfRule type="expression" dxfId="1962" priority="1954" stopIfTrue="1">
      <formula>CE31="0"</formula>
    </cfRule>
  </conditionalFormatting>
  <conditionalFormatting sqref="M31">
    <cfRule type="expression" dxfId="1961" priority="1952" stopIfTrue="1">
      <formula>BZ31="0"</formula>
    </cfRule>
  </conditionalFormatting>
  <conditionalFormatting sqref="D31">
    <cfRule type="expression" dxfId="1960" priority="1950" stopIfTrue="1">
      <formula>AND(NOT($C31=""),D31="")</formula>
    </cfRule>
    <cfRule type="expression" dxfId="1959" priority="1951" stopIfTrue="1">
      <formula>AG31="0"</formula>
    </cfRule>
  </conditionalFormatting>
  <conditionalFormatting sqref="E31">
    <cfRule type="expression" dxfId="1958" priority="1948" stopIfTrue="1">
      <formula>AND(NOT($C31=""),E31="")</formula>
    </cfRule>
    <cfRule type="expression" dxfId="1957" priority="1949" stopIfTrue="1">
      <formula>AL31="0"</formula>
    </cfRule>
  </conditionalFormatting>
  <conditionalFormatting sqref="F31">
    <cfRule type="expression" dxfId="1956" priority="1946" stopIfTrue="1">
      <formula>AND(NOT($C31=""),F31="")</formula>
    </cfRule>
    <cfRule type="expression" dxfId="1955" priority="1947" stopIfTrue="1">
      <formula>AQ31="0"</formula>
    </cfRule>
  </conditionalFormatting>
  <conditionalFormatting sqref="G31">
    <cfRule type="expression" dxfId="1954" priority="1944" stopIfTrue="1">
      <formula>AND(NOT($C31=""),G31="")</formula>
    </cfRule>
    <cfRule type="expression" dxfId="1953" priority="1945" stopIfTrue="1">
      <formula>AV31="0"</formula>
    </cfRule>
  </conditionalFormatting>
  <conditionalFormatting sqref="H31">
    <cfRule type="expression" dxfId="1952" priority="1942" stopIfTrue="1">
      <formula>AND(NOT($C31=""),H31="")</formula>
    </cfRule>
    <cfRule type="expression" dxfId="1951" priority="1943" stopIfTrue="1">
      <formula>BA31="0"</formula>
    </cfRule>
  </conditionalFormatting>
  <conditionalFormatting sqref="I31">
    <cfRule type="expression" dxfId="1950" priority="1940" stopIfTrue="1">
      <formula>AND(NOT($C31=""),I31="")</formula>
    </cfRule>
    <cfRule type="expression" dxfId="1949" priority="1941" stopIfTrue="1">
      <formula>BF31="0"</formula>
    </cfRule>
  </conditionalFormatting>
  <conditionalFormatting sqref="J31">
    <cfRule type="expression" dxfId="1948" priority="1938" stopIfTrue="1">
      <formula>AND(NOT($C31=""),J31="")</formula>
    </cfRule>
    <cfRule type="expression" dxfId="1947" priority="1939" stopIfTrue="1">
      <formula>BK31="0"</formula>
    </cfRule>
  </conditionalFormatting>
  <conditionalFormatting sqref="K31">
    <cfRule type="expression" dxfId="1946" priority="1936" stopIfTrue="1">
      <formula>AND(NOT($C31=""),K31="")</formula>
    </cfRule>
    <cfRule type="expression" dxfId="1945" priority="1937" stopIfTrue="1">
      <formula>BP31="0"</formula>
    </cfRule>
  </conditionalFormatting>
  <conditionalFormatting sqref="L31">
    <cfRule type="expression" dxfId="1944" priority="1934" stopIfTrue="1">
      <formula>AND(NOT($C31=""),L31="")</formula>
    </cfRule>
    <cfRule type="expression" dxfId="1943" priority="1935" stopIfTrue="1">
      <formula>BU31="0"</formula>
    </cfRule>
  </conditionalFormatting>
  <conditionalFormatting sqref="N31">
    <cfRule type="expression" dxfId="1942" priority="1932" stopIfTrue="1">
      <formula>AND(NOT($C31=""),N31="")</formula>
    </cfRule>
    <cfRule type="expression" dxfId="1941" priority="1933" stopIfTrue="1">
      <formula>CE31="0"</formula>
    </cfRule>
  </conditionalFormatting>
  <conditionalFormatting sqref="M31">
    <cfRule type="expression" dxfId="1940" priority="1931" stopIfTrue="1">
      <formula>BZ31="0"</formula>
    </cfRule>
  </conditionalFormatting>
  <conditionalFormatting sqref="D31">
    <cfRule type="expression" dxfId="1939" priority="1929" stopIfTrue="1">
      <formula>AND(NOT($C31=""),D31="")</formula>
    </cfRule>
    <cfRule type="expression" dxfId="1938" priority="1930" stopIfTrue="1">
      <formula>AG31="0"</formula>
    </cfRule>
  </conditionalFormatting>
  <conditionalFormatting sqref="E31">
    <cfRule type="expression" dxfId="1937" priority="1927" stopIfTrue="1">
      <formula>AND(NOT($C31=""),E31="")</formula>
    </cfRule>
    <cfRule type="expression" dxfId="1936" priority="1928" stopIfTrue="1">
      <formula>AL31="0"</formula>
    </cfRule>
  </conditionalFormatting>
  <conditionalFormatting sqref="F31">
    <cfRule type="expression" dxfId="1935" priority="1925" stopIfTrue="1">
      <formula>AND(NOT($C31=""),F31="")</formula>
    </cfRule>
    <cfRule type="expression" dxfId="1934" priority="1926" stopIfTrue="1">
      <formula>AQ31="0"</formula>
    </cfRule>
  </conditionalFormatting>
  <conditionalFormatting sqref="G31">
    <cfRule type="expression" dxfId="1933" priority="1923" stopIfTrue="1">
      <formula>AND(NOT($C31=""),G31="")</formula>
    </cfRule>
    <cfRule type="expression" dxfId="1932" priority="1924" stopIfTrue="1">
      <formula>AV31="0"</formula>
    </cfRule>
  </conditionalFormatting>
  <conditionalFormatting sqref="H31">
    <cfRule type="expression" dxfId="1931" priority="1921" stopIfTrue="1">
      <formula>AND(NOT($C31=""),H31="")</formula>
    </cfRule>
    <cfRule type="expression" dxfId="1930" priority="1922" stopIfTrue="1">
      <formula>BA31="0"</formula>
    </cfRule>
  </conditionalFormatting>
  <conditionalFormatting sqref="I31">
    <cfRule type="expression" dxfId="1929" priority="1919" stopIfTrue="1">
      <formula>AND(NOT($C31=""),I31="")</formula>
    </cfRule>
    <cfRule type="expression" dxfId="1928" priority="1920" stopIfTrue="1">
      <formula>BF31="0"</formula>
    </cfRule>
  </conditionalFormatting>
  <conditionalFormatting sqref="J31">
    <cfRule type="expression" dxfId="1927" priority="1917" stopIfTrue="1">
      <formula>AND(NOT($C31=""),J31="")</formula>
    </cfRule>
    <cfRule type="expression" dxfId="1926" priority="1918" stopIfTrue="1">
      <formula>BK31="0"</formula>
    </cfRule>
  </conditionalFormatting>
  <conditionalFormatting sqref="K31">
    <cfRule type="expression" dxfId="1925" priority="1915" stopIfTrue="1">
      <formula>AND(NOT($C31=""),K31="")</formula>
    </cfRule>
    <cfRule type="expression" dxfId="1924" priority="1916" stopIfTrue="1">
      <formula>BP31="0"</formula>
    </cfRule>
  </conditionalFormatting>
  <conditionalFormatting sqref="L31">
    <cfRule type="expression" dxfId="1923" priority="1913" stopIfTrue="1">
      <formula>AND(NOT($C31=""),L31="")</formula>
    </cfRule>
    <cfRule type="expression" dxfId="1922" priority="1914" stopIfTrue="1">
      <formula>BU31="0"</formula>
    </cfRule>
  </conditionalFormatting>
  <conditionalFormatting sqref="N31">
    <cfRule type="expression" dxfId="1921" priority="1911" stopIfTrue="1">
      <formula>AND(NOT($C31=""),N31="")</formula>
    </cfRule>
    <cfRule type="expression" dxfId="1920" priority="1912" stopIfTrue="1">
      <formula>CE31="0"</formula>
    </cfRule>
  </conditionalFormatting>
  <conditionalFormatting sqref="M31">
    <cfRule type="expression" dxfId="1919" priority="1910" stopIfTrue="1">
      <formula>BZ31="0"</formula>
    </cfRule>
  </conditionalFormatting>
  <conditionalFormatting sqref="D31">
    <cfRule type="expression" dxfId="1918" priority="1908" stopIfTrue="1">
      <formula>AND(NOT($C31=""),D31="")</formula>
    </cfRule>
    <cfRule type="expression" dxfId="1917" priority="1909" stopIfTrue="1">
      <formula>AG31="0"</formula>
    </cfRule>
  </conditionalFormatting>
  <conditionalFormatting sqref="E31">
    <cfRule type="expression" dxfId="1916" priority="1906" stopIfTrue="1">
      <formula>AND(NOT($C31=""),E31="")</formula>
    </cfRule>
    <cfRule type="expression" dxfId="1915" priority="1907" stopIfTrue="1">
      <formula>AL31="0"</formula>
    </cfRule>
  </conditionalFormatting>
  <conditionalFormatting sqref="F31">
    <cfRule type="expression" dxfId="1914" priority="1904" stopIfTrue="1">
      <formula>AND(NOT($C31=""),F31="")</formula>
    </cfRule>
    <cfRule type="expression" dxfId="1913" priority="1905" stopIfTrue="1">
      <formula>AQ31="0"</formula>
    </cfRule>
  </conditionalFormatting>
  <conditionalFormatting sqref="G31">
    <cfRule type="expression" dxfId="1912" priority="1902" stopIfTrue="1">
      <formula>AND(NOT($C31=""),G31="")</formula>
    </cfRule>
    <cfRule type="expression" dxfId="1911" priority="1903" stopIfTrue="1">
      <formula>AV31="0"</formula>
    </cfRule>
  </conditionalFormatting>
  <conditionalFormatting sqref="H31">
    <cfRule type="expression" dxfId="1910" priority="1900" stopIfTrue="1">
      <formula>AND(NOT($C31=""),H31="")</formula>
    </cfRule>
    <cfRule type="expression" dxfId="1909" priority="1901" stopIfTrue="1">
      <formula>BA31="0"</formula>
    </cfRule>
  </conditionalFormatting>
  <conditionalFormatting sqref="I31">
    <cfRule type="expression" dxfId="1908" priority="1898" stopIfTrue="1">
      <formula>AND(NOT($C31=""),I31="")</formula>
    </cfRule>
    <cfRule type="expression" dxfId="1907" priority="1899" stopIfTrue="1">
      <formula>BF31="0"</formula>
    </cfRule>
  </conditionalFormatting>
  <conditionalFormatting sqref="J31">
    <cfRule type="expression" dxfId="1906" priority="1896" stopIfTrue="1">
      <formula>AND(NOT($C31=""),J31="")</formula>
    </cfRule>
    <cfRule type="expression" dxfId="1905" priority="1897" stopIfTrue="1">
      <formula>BK31="0"</formula>
    </cfRule>
  </conditionalFormatting>
  <conditionalFormatting sqref="K31">
    <cfRule type="expression" dxfId="1904" priority="1894" stopIfTrue="1">
      <formula>AND(NOT($C31=""),K31="")</formula>
    </cfRule>
    <cfRule type="expression" dxfId="1903" priority="1895" stopIfTrue="1">
      <formula>BP31="0"</formula>
    </cfRule>
  </conditionalFormatting>
  <conditionalFormatting sqref="L31">
    <cfRule type="expression" dxfId="1902" priority="1892" stopIfTrue="1">
      <formula>AND(NOT($C31=""),L31="")</formula>
    </cfRule>
    <cfRule type="expression" dxfId="1901" priority="1893" stopIfTrue="1">
      <formula>BU31="0"</formula>
    </cfRule>
  </conditionalFormatting>
  <conditionalFormatting sqref="N31">
    <cfRule type="expression" dxfId="1900" priority="1890" stopIfTrue="1">
      <formula>AND(NOT($C31=""),N31="")</formula>
    </cfRule>
    <cfRule type="expression" dxfId="1899" priority="1891" stopIfTrue="1">
      <formula>CE31="0"</formula>
    </cfRule>
  </conditionalFormatting>
  <conditionalFormatting sqref="M31">
    <cfRule type="expression" dxfId="1898" priority="1889" stopIfTrue="1">
      <formula>BZ31="0"</formula>
    </cfRule>
  </conditionalFormatting>
  <conditionalFormatting sqref="D31">
    <cfRule type="expression" dxfId="1897" priority="1887" stopIfTrue="1">
      <formula>AND(NOT($C31=""),D31="")</formula>
    </cfRule>
    <cfRule type="expression" dxfId="1896" priority="1888" stopIfTrue="1">
      <formula>AG31="0"</formula>
    </cfRule>
  </conditionalFormatting>
  <conditionalFormatting sqref="E31">
    <cfRule type="expression" dxfId="1895" priority="1885" stopIfTrue="1">
      <formula>AND(NOT($C31=""),E31="")</formula>
    </cfRule>
    <cfRule type="expression" dxfId="1894" priority="1886" stopIfTrue="1">
      <formula>AL31="0"</formula>
    </cfRule>
  </conditionalFormatting>
  <conditionalFormatting sqref="F31">
    <cfRule type="expression" dxfId="1893" priority="1883" stopIfTrue="1">
      <formula>AND(NOT($C31=""),F31="")</formula>
    </cfRule>
    <cfRule type="expression" dxfId="1892" priority="1884" stopIfTrue="1">
      <formula>AQ31="0"</formula>
    </cfRule>
  </conditionalFormatting>
  <conditionalFormatting sqref="G31">
    <cfRule type="expression" dxfId="1891" priority="1881" stopIfTrue="1">
      <formula>AND(NOT($C31=""),G31="")</formula>
    </cfRule>
    <cfRule type="expression" dxfId="1890" priority="1882" stopIfTrue="1">
      <formula>AV31="0"</formula>
    </cfRule>
  </conditionalFormatting>
  <conditionalFormatting sqref="H31">
    <cfRule type="expression" dxfId="1889" priority="1879" stopIfTrue="1">
      <formula>AND(NOT($C31=""),H31="")</formula>
    </cfRule>
    <cfRule type="expression" dxfId="1888" priority="1880" stopIfTrue="1">
      <formula>BA31="0"</formula>
    </cfRule>
  </conditionalFormatting>
  <conditionalFormatting sqref="I31">
    <cfRule type="expression" dxfId="1887" priority="1877" stopIfTrue="1">
      <formula>AND(NOT($C31=""),I31="")</formula>
    </cfRule>
    <cfRule type="expression" dxfId="1886" priority="1878" stopIfTrue="1">
      <formula>BF31="0"</formula>
    </cfRule>
  </conditionalFormatting>
  <conditionalFormatting sqref="J31">
    <cfRule type="expression" dxfId="1885" priority="1875" stopIfTrue="1">
      <formula>AND(NOT($C31=""),J31="")</formula>
    </cfRule>
    <cfRule type="expression" dxfId="1884" priority="1876" stopIfTrue="1">
      <formula>BK31="0"</formula>
    </cfRule>
  </conditionalFormatting>
  <conditionalFormatting sqref="K31">
    <cfRule type="expression" dxfId="1883" priority="1873" stopIfTrue="1">
      <formula>AND(NOT($C31=""),K31="")</formula>
    </cfRule>
    <cfRule type="expression" dxfId="1882" priority="1874" stopIfTrue="1">
      <formula>BP31="0"</formula>
    </cfRule>
  </conditionalFormatting>
  <conditionalFormatting sqref="L31">
    <cfRule type="expression" dxfId="1881" priority="1871" stopIfTrue="1">
      <formula>AND(NOT($C31=""),L31="")</formula>
    </cfRule>
    <cfRule type="expression" dxfId="1880" priority="1872" stopIfTrue="1">
      <formula>BU31="0"</formula>
    </cfRule>
  </conditionalFormatting>
  <conditionalFormatting sqref="N31">
    <cfRule type="expression" dxfId="1879" priority="1869" stopIfTrue="1">
      <formula>AND(NOT($C31=""),N31="")</formula>
    </cfRule>
    <cfRule type="expression" dxfId="1878" priority="1870" stopIfTrue="1">
      <formula>CE31="0"</formula>
    </cfRule>
  </conditionalFormatting>
  <conditionalFormatting sqref="M31">
    <cfRule type="expression" dxfId="1877" priority="1868" stopIfTrue="1">
      <formula>BZ31="0"</formula>
    </cfRule>
  </conditionalFormatting>
  <conditionalFormatting sqref="D31">
    <cfRule type="expression" dxfId="1876" priority="1866" stopIfTrue="1">
      <formula>AND(NOT($C31=""),D31="")</formula>
    </cfRule>
    <cfRule type="expression" dxfId="1875" priority="1867" stopIfTrue="1">
      <formula>AG31="0"</formula>
    </cfRule>
  </conditionalFormatting>
  <conditionalFormatting sqref="E31">
    <cfRule type="expression" dxfId="1874" priority="1864" stopIfTrue="1">
      <formula>AND(NOT($C31=""),E31="")</formula>
    </cfRule>
    <cfRule type="expression" dxfId="1873" priority="1865" stopIfTrue="1">
      <formula>AL31="0"</formula>
    </cfRule>
  </conditionalFormatting>
  <conditionalFormatting sqref="F31">
    <cfRule type="expression" dxfId="1872" priority="1862" stopIfTrue="1">
      <formula>AND(NOT($C31=""),F31="")</formula>
    </cfRule>
    <cfRule type="expression" dxfId="1871" priority="1863" stopIfTrue="1">
      <formula>AQ31="0"</formula>
    </cfRule>
  </conditionalFormatting>
  <conditionalFormatting sqref="G31">
    <cfRule type="expression" dxfId="1870" priority="1860" stopIfTrue="1">
      <formula>AND(NOT($C31=""),G31="")</formula>
    </cfRule>
    <cfRule type="expression" dxfId="1869" priority="1861" stopIfTrue="1">
      <formula>AV31="0"</formula>
    </cfRule>
  </conditionalFormatting>
  <conditionalFormatting sqref="H31">
    <cfRule type="expression" dxfId="1868" priority="1858" stopIfTrue="1">
      <formula>AND(NOT($C31=""),H31="")</formula>
    </cfRule>
    <cfRule type="expression" dxfId="1867" priority="1859" stopIfTrue="1">
      <formula>BA31="0"</formula>
    </cfRule>
  </conditionalFormatting>
  <conditionalFormatting sqref="I31">
    <cfRule type="expression" dxfId="1866" priority="1856" stopIfTrue="1">
      <formula>AND(NOT($C31=""),I31="")</formula>
    </cfRule>
    <cfRule type="expression" dxfId="1865" priority="1857" stopIfTrue="1">
      <formula>BF31="0"</formula>
    </cfRule>
  </conditionalFormatting>
  <conditionalFormatting sqref="J31">
    <cfRule type="expression" dxfId="1864" priority="1854" stopIfTrue="1">
      <formula>AND(NOT($C31=""),J31="")</formula>
    </cfRule>
    <cfRule type="expression" dxfId="1863" priority="1855" stopIfTrue="1">
      <formula>BK31="0"</formula>
    </cfRule>
  </conditionalFormatting>
  <conditionalFormatting sqref="K31">
    <cfRule type="expression" dxfId="1862" priority="1852" stopIfTrue="1">
      <formula>AND(NOT($C31=""),K31="")</formula>
    </cfRule>
    <cfRule type="expression" dxfId="1861" priority="1853" stopIfTrue="1">
      <formula>BP31="0"</formula>
    </cfRule>
  </conditionalFormatting>
  <conditionalFormatting sqref="L31">
    <cfRule type="expression" dxfId="1860" priority="1850" stopIfTrue="1">
      <formula>AND(NOT($C31=""),L31="")</formula>
    </cfRule>
    <cfRule type="expression" dxfId="1859" priority="1851" stopIfTrue="1">
      <formula>BU31="0"</formula>
    </cfRule>
  </conditionalFormatting>
  <conditionalFormatting sqref="N31">
    <cfRule type="expression" dxfId="1858" priority="1848" stopIfTrue="1">
      <formula>AND(NOT($C31=""),N31="")</formula>
    </cfRule>
    <cfRule type="expression" dxfId="1857" priority="1849" stopIfTrue="1">
      <formula>CE31="0"</formula>
    </cfRule>
  </conditionalFormatting>
  <conditionalFormatting sqref="M31">
    <cfRule type="expression" dxfId="1856" priority="1847" stopIfTrue="1">
      <formula>BZ31="0"</formula>
    </cfRule>
  </conditionalFormatting>
  <conditionalFormatting sqref="D31">
    <cfRule type="expression" dxfId="1855" priority="1845" stopIfTrue="1">
      <formula>AND(NOT($C31=""),D31="")</formula>
    </cfRule>
    <cfRule type="expression" dxfId="1854" priority="1846" stopIfTrue="1">
      <formula>AG31="0"</formula>
    </cfRule>
  </conditionalFormatting>
  <conditionalFormatting sqref="E31">
    <cfRule type="expression" dxfId="1853" priority="1843" stopIfTrue="1">
      <formula>AND(NOT($C31=""),E31="")</formula>
    </cfRule>
    <cfRule type="expression" dxfId="1852" priority="1844" stopIfTrue="1">
      <formula>AL31="0"</formula>
    </cfRule>
  </conditionalFormatting>
  <conditionalFormatting sqref="F31">
    <cfRule type="expression" dxfId="1851" priority="1841" stopIfTrue="1">
      <formula>AND(NOT($C31=""),F31="")</formula>
    </cfRule>
    <cfRule type="expression" dxfId="1850" priority="1842" stopIfTrue="1">
      <formula>AQ31="0"</formula>
    </cfRule>
  </conditionalFormatting>
  <conditionalFormatting sqref="G31">
    <cfRule type="expression" dxfId="1849" priority="1839" stopIfTrue="1">
      <formula>AND(NOT($C31=""),G31="")</formula>
    </cfRule>
    <cfRule type="expression" dxfId="1848" priority="1840" stopIfTrue="1">
      <formula>AV31="0"</formula>
    </cfRule>
  </conditionalFormatting>
  <conditionalFormatting sqref="H31">
    <cfRule type="expression" dxfId="1847" priority="1837" stopIfTrue="1">
      <formula>AND(NOT($C31=""),H31="")</formula>
    </cfRule>
    <cfRule type="expression" dxfId="1846" priority="1838" stopIfTrue="1">
      <formula>BA31="0"</formula>
    </cfRule>
  </conditionalFormatting>
  <conditionalFormatting sqref="I31">
    <cfRule type="expression" dxfId="1845" priority="1835" stopIfTrue="1">
      <formula>AND(NOT($C31=""),I31="")</formula>
    </cfRule>
    <cfRule type="expression" dxfId="1844" priority="1836" stopIfTrue="1">
      <formula>BF31="0"</formula>
    </cfRule>
  </conditionalFormatting>
  <conditionalFormatting sqref="J31">
    <cfRule type="expression" dxfId="1843" priority="1833" stopIfTrue="1">
      <formula>AND(NOT($C31=""),J31="")</formula>
    </cfRule>
    <cfRule type="expression" dxfId="1842" priority="1834" stopIfTrue="1">
      <formula>BK31="0"</formula>
    </cfRule>
  </conditionalFormatting>
  <conditionalFormatting sqref="K31">
    <cfRule type="expression" dxfId="1841" priority="1831" stopIfTrue="1">
      <formula>AND(NOT($C31=""),K31="")</formula>
    </cfRule>
    <cfRule type="expression" dxfId="1840" priority="1832" stopIfTrue="1">
      <formula>BP31="0"</formula>
    </cfRule>
  </conditionalFormatting>
  <conditionalFormatting sqref="L31">
    <cfRule type="expression" dxfId="1839" priority="1829" stopIfTrue="1">
      <formula>AND(NOT($C31=""),L31="")</formula>
    </cfRule>
    <cfRule type="expression" dxfId="1838" priority="1830" stopIfTrue="1">
      <formula>BU31="0"</formula>
    </cfRule>
  </conditionalFormatting>
  <conditionalFormatting sqref="N31">
    <cfRule type="expression" dxfId="1837" priority="1827" stopIfTrue="1">
      <formula>AND(NOT($C31=""),N31="")</formula>
    </cfRule>
    <cfRule type="expression" dxfId="1836" priority="1828" stopIfTrue="1">
      <formula>CE31="0"</formula>
    </cfRule>
  </conditionalFormatting>
  <conditionalFormatting sqref="M31">
    <cfRule type="expression" dxfId="1835" priority="1826" stopIfTrue="1">
      <formula>BZ31="0"</formula>
    </cfRule>
  </conditionalFormatting>
  <conditionalFormatting sqref="D31">
    <cfRule type="expression" dxfId="1834" priority="1824" stopIfTrue="1">
      <formula>AND(NOT($C31=""),D31="")</formula>
    </cfRule>
    <cfRule type="expression" dxfId="1833" priority="1825" stopIfTrue="1">
      <formula>AG31="0"</formula>
    </cfRule>
  </conditionalFormatting>
  <conditionalFormatting sqref="E31">
    <cfRule type="expression" dxfId="1832" priority="1822" stopIfTrue="1">
      <formula>AND(NOT($C31=""),E31="")</formula>
    </cfRule>
    <cfRule type="expression" dxfId="1831" priority="1823" stopIfTrue="1">
      <formula>AL31="0"</formula>
    </cfRule>
  </conditionalFormatting>
  <conditionalFormatting sqref="F31">
    <cfRule type="expression" dxfId="1830" priority="1820" stopIfTrue="1">
      <formula>AND(NOT($C31=""),F31="")</formula>
    </cfRule>
    <cfRule type="expression" dxfId="1829" priority="1821" stopIfTrue="1">
      <formula>AQ31="0"</formula>
    </cfRule>
  </conditionalFormatting>
  <conditionalFormatting sqref="G31">
    <cfRule type="expression" dxfId="1828" priority="1818" stopIfTrue="1">
      <formula>AND(NOT($C31=""),G31="")</formula>
    </cfRule>
    <cfRule type="expression" dxfId="1827" priority="1819" stopIfTrue="1">
      <formula>AV31="0"</formula>
    </cfRule>
  </conditionalFormatting>
  <conditionalFormatting sqref="H31">
    <cfRule type="expression" dxfId="1826" priority="1816" stopIfTrue="1">
      <formula>AND(NOT($C31=""),H31="")</formula>
    </cfRule>
    <cfRule type="expression" dxfId="1825" priority="1817" stopIfTrue="1">
      <formula>BA31="0"</formula>
    </cfRule>
  </conditionalFormatting>
  <conditionalFormatting sqref="I31">
    <cfRule type="expression" dxfId="1824" priority="1814" stopIfTrue="1">
      <formula>AND(NOT($C31=""),I31="")</formula>
    </cfRule>
    <cfRule type="expression" dxfId="1823" priority="1815" stopIfTrue="1">
      <formula>BF31="0"</formula>
    </cfRule>
  </conditionalFormatting>
  <conditionalFormatting sqref="J31">
    <cfRule type="expression" dxfId="1822" priority="1812" stopIfTrue="1">
      <formula>AND(NOT($C31=""),J31="")</formula>
    </cfRule>
    <cfRule type="expression" dxfId="1821" priority="1813" stopIfTrue="1">
      <formula>BK31="0"</formula>
    </cfRule>
  </conditionalFormatting>
  <conditionalFormatting sqref="K31">
    <cfRule type="expression" dxfId="1820" priority="1810" stopIfTrue="1">
      <formula>AND(NOT($C31=""),K31="")</formula>
    </cfRule>
    <cfRule type="expression" dxfId="1819" priority="1811" stopIfTrue="1">
      <formula>BP31="0"</formula>
    </cfRule>
  </conditionalFormatting>
  <conditionalFormatting sqref="L31">
    <cfRule type="expression" dxfId="1818" priority="1808" stopIfTrue="1">
      <formula>AND(NOT($C31=""),L31="")</formula>
    </cfRule>
    <cfRule type="expression" dxfId="1817" priority="1809" stopIfTrue="1">
      <formula>BU31="0"</formula>
    </cfRule>
  </conditionalFormatting>
  <conditionalFormatting sqref="N31">
    <cfRule type="expression" dxfId="1816" priority="1806" stopIfTrue="1">
      <formula>AND(NOT($C31=""),N31="")</formula>
    </cfRule>
    <cfRule type="expression" dxfId="1815" priority="1807" stopIfTrue="1">
      <formula>CE31="0"</formula>
    </cfRule>
  </conditionalFormatting>
  <conditionalFormatting sqref="E77">
    <cfRule type="expression" dxfId="1814" priority="1804" stopIfTrue="1">
      <formula>AND(NOT($C77=""),E77="")</formula>
    </cfRule>
    <cfRule type="expression" dxfId="1813" priority="1805" stopIfTrue="1">
      <formula>AQ77="0"</formula>
    </cfRule>
  </conditionalFormatting>
  <conditionalFormatting sqref="E77">
    <cfRule type="expression" dxfId="1812" priority="1802" stopIfTrue="1">
      <formula>AND(NOT($C77=""),E77="")</formula>
    </cfRule>
    <cfRule type="expression" dxfId="1811" priority="1803" stopIfTrue="1">
      <formula>AL77="0"</formula>
    </cfRule>
  </conditionalFormatting>
  <conditionalFormatting sqref="E77">
    <cfRule type="expression" dxfId="1810" priority="1800" stopIfTrue="1">
      <formula>AND(NOT($C77=""),E77="")</formula>
    </cfRule>
    <cfRule type="expression" dxfId="1809" priority="1801" stopIfTrue="1">
      <formula>AL77="0"</formula>
    </cfRule>
  </conditionalFormatting>
  <conditionalFormatting sqref="F77">
    <cfRule type="expression" dxfId="1808" priority="1798" stopIfTrue="1">
      <formula>AND(NOT($C77=""),F77="")</formula>
    </cfRule>
    <cfRule type="expression" dxfId="1807" priority="1799" stopIfTrue="1">
      <formula>AQ77="0"</formula>
    </cfRule>
  </conditionalFormatting>
  <conditionalFormatting sqref="E77">
    <cfRule type="expression" dxfId="1806" priority="1796" stopIfTrue="1">
      <formula>AND(NOT($C77=""),E77="")</formula>
    </cfRule>
    <cfRule type="expression" dxfId="1805" priority="1797" stopIfTrue="1">
      <formula>AL77="0"</formula>
    </cfRule>
  </conditionalFormatting>
  <conditionalFormatting sqref="E77">
    <cfRule type="expression" dxfId="1804" priority="1794" stopIfTrue="1">
      <formula>AND(NOT($C77=""),E77="")</formula>
    </cfRule>
    <cfRule type="expression" dxfId="1803" priority="1795" stopIfTrue="1">
      <formula>AL77="0"</formula>
    </cfRule>
  </conditionalFormatting>
  <conditionalFormatting sqref="F77">
    <cfRule type="expression" dxfId="1802" priority="1792" stopIfTrue="1">
      <formula>AND(NOT($C77=""),F77="")</formula>
    </cfRule>
    <cfRule type="expression" dxfId="1801" priority="1793" stopIfTrue="1">
      <formula>AQ77="0"</formula>
    </cfRule>
  </conditionalFormatting>
  <conditionalFormatting sqref="E77">
    <cfRule type="expression" dxfId="1800" priority="1790" stopIfTrue="1">
      <formula>AND(NOT($C77=""),E77="")</formula>
    </cfRule>
    <cfRule type="expression" dxfId="1799" priority="1791" stopIfTrue="1">
      <formula>AL77="0"</formula>
    </cfRule>
  </conditionalFormatting>
  <conditionalFormatting sqref="F77">
    <cfRule type="expression" dxfId="1798" priority="1788" stopIfTrue="1">
      <formula>AND(NOT($C77=""),F77="")</formula>
    </cfRule>
    <cfRule type="expression" dxfId="1797" priority="1789" stopIfTrue="1">
      <formula>AQ77="0"</formula>
    </cfRule>
  </conditionalFormatting>
  <conditionalFormatting sqref="E77">
    <cfRule type="expression" dxfId="1796" priority="1786" stopIfTrue="1">
      <formula>AND(NOT($C77=""),E77="")</formula>
    </cfRule>
    <cfRule type="expression" dxfId="1795" priority="1787" stopIfTrue="1">
      <formula>AL77="0"</formula>
    </cfRule>
  </conditionalFormatting>
  <conditionalFormatting sqref="F77">
    <cfRule type="expression" dxfId="1794" priority="1784" stopIfTrue="1">
      <formula>AND(NOT($C77=""),F77="")</formula>
    </cfRule>
    <cfRule type="expression" dxfId="1793" priority="1785" stopIfTrue="1">
      <formula>AQ77="0"</formula>
    </cfRule>
  </conditionalFormatting>
  <conditionalFormatting sqref="E79">
    <cfRule type="expression" dxfId="1792" priority="1782" stopIfTrue="1">
      <formula>AND(NOT($C79=""),E79="")</formula>
    </cfRule>
    <cfRule type="expression" dxfId="1791" priority="1783" stopIfTrue="1">
      <formula>AQ79="0"</formula>
    </cfRule>
  </conditionalFormatting>
  <conditionalFormatting sqref="E79">
    <cfRule type="expression" dxfId="1790" priority="1780" stopIfTrue="1">
      <formula>AND(NOT($C79=""),E79="")</formula>
    </cfRule>
    <cfRule type="expression" dxfId="1789" priority="1781" stopIfTrue="1">
      <formula>AL79="0"</formula>
    </cfRule>
  </conditionalFormatting>
  <conditionalFormatting sqref="E79">
    <cfRule type="expression" dxfId="1788" priority="1778" stopIfTrue="1">
      <formula>AND(NOT($C79=""),E79="")</formula>
    </cfRule>
    <cfRule type="expression" dxfId="1787" priority="1779" stopIfTrue="1">
      <formula>AL79="0"</formula>
    </cfRule>
  </conditionalFormatting>
  <conditionalFormatting sqref="F79">
    <cfRule type="expression" dxfId="1786" priority="1776" stopIfTrue="1">
      <formula>AND(NOT($C79=""),F79="")</formula>
    </cfRule>
    <cfRule type="expression" dxfId="1785" priority="1777" stopIfTrue="1">
      <formula>AQ79="0"</formula>
    </cfRule>
  </conditionalFormatting>
  <conditionalFormatting sqref="E79">
    <cfRule type="expression" dxfId="1784" priority="1774" stopIfTrue="1">
      <formula>AND(NOT($C79=""),E79="")</formula>
    </cfRule>
    <cfRule type="expression" dxfId="1783" priority="1775" stopIfTrue="1">
      <formula>AL79="0"</formula>
    </cfRule>
  </conditionalFormatting>
  <conditionalFormatting sqref="E79">
    <cfRule type="expression" dxfId="1782" priority="1772" stopIfTrue="1">
      <formula>AND(NOT($C79=""),E79="")</formula>
    </cfRule>
    <cfRule type="expression" dxfId="1781" priority="1773" stopIfTrue="1">
      <formula>AL79="0"</formula>
    </cfRule>
  </conditionalFormatting>
  <conditionalFormatting sqref="F79">
    <cfRule type="expression" dxfId="1780" priority="1770" stopIfTrue="1">
      <formula>AND(NOT($C79=""),F79="")</formula>
    </cfRule>
    <cfRule type="expression" dxfId="1779" priority="1771" stopIfTrue="1">
      <formula>AQ79="0"</formula>
    </cfRule>
  </conditionalFormatting>
  <conditionalFormatting sqref="E79">
    <cfRule type="expression" dxfId="1778" priority="1768" stopIfTrue="1">
      <formula>AND(NOT($C79=""),E79="")</formula>
    </cfRule>
    <cfRule type="expression" dxfId="1777" priority="1769" stopIfTrue="1">
      <formula>AL79="0"</formula>
    </cfRule>
  </conditionalFormatting>
  <conditionalFormatting sqref="F79">
    <cfRule type="expression" dxfId="1776" priority="1766" stopIfTrue="1">
      <formula>AND(NOT($C79=""),F79="")</formula>
    </cfRule>
    <cfRule type="expression" dxfId="1775" priority="1767" stopIfTrue="1">
      <formula>AQ79="0"</formula>
    </cfRule>
  </conditionalFormatting>
  <conditionalFormatting sqref="E79">
    <cfRule type="expression" dxfId="1774" priority="1764" stopIfTrue="1">
      <formula>AND(NOT($C79=""),E79="")</formula>
    </cfRule>
    <cfRule type="expression" dxfId="1773" priority="1765" stopIfTrue="1">
      <formula>AL79="0"</formula>
    </cfRule>
  </conditionalFormatting>
  <conditionalFormatting sqref="F79">
    <cfRule type="expression" dxfId="1772" priority="1762" stopIfTrue="1">
      <formula>AND(NOT($C79=""),F79="")</formula>
    </cfRule>
    <cfRule type="expression" dxfId="1771" priority="1763" stopIfTrue="1">
      <formula>AQ79="0"</formula>
    </cfRule>
  </conditionalFormatting>
  <conditionalFormatting sqref="M11">
    <cfRule type="expression" dxfId="1770" priority="1761" stopIfTrue="1">
      <formula>BZ11="0"</formula>
    </cfRule>
  </conditionalFormatting>
  <conditionalFormatting sqref="D11">
    <cfRule type="expression" dxfId="1769" priority="1759" stopIfTrue="1">
      <formula>AND(NOT($C11=""),D11="")</formula>
    </cfRule>
    <cfRule type="expression" dxfId="1768" priority="1760" stopIfTrue="1">
      <formula>AG11="0"</formula>
    </cfRule>
  </conditionalFormatting>
  <conditionalFormatting sqref="E11">
    <cfRule type="expression" dxfId="1767" priority="1757" stopIfTrue="1">
      <formula>AND(NOT($C11=""),E11="")</formula>
    </cfRule>
    <cfRule type="expression" dxfId="1766" priority="1758" stopIfTrue="1">
      <formula>AL11="0"</formula>
    </cfRule>
  </conditionalFormatting>
  <conditionalFormatting sqref="F11">
    <cfRule type="expression" dxfId="1765" priority="1755" stopIfTrue="1">
      <formula>AND(NOT($C11=""),F11="")</formula>
    </cfRule>
    <cfRule type="expression" dxfId="1764" priority="1756" stopIfTrue="1">
      <formula>AQ11="0"</formula>
    </cfRule>
  </conditionalFormatting>
  <conditionalFormatting sqref="G11">
    <cfRule type="expression" dxfId="1763" priority="1753" stopIfTrue="1">
      <formula>AND(NOT($C11=""),G11="")</formula>
    </cfRule>
    <cfRule type="expression" dxfId="1762" priority="1754" stopIfTrue="1">
      <formula>AV11="0"</formula>
    </cfRule>
  </conditionalFormatting>
  <conditionalFormatting sqref="H11">
    <cfRule type="expression" dxfId="1761" priority="1751" stopIfTrue="1">
      <formula>AND(NOT($C11=""),H11="")</formula>
    </cfRule>
    <cfRule type="expression" dxfId="1760" priority="1752" stopIfTrue="1">
      <formula>BA11="0"</formula>
    </cfRule>
  </conditionalFormatting>
  <conditionalFormatting sqref="I11">
    <cfRule type="expression" dxfId="1759" priority="1749" stopIfTrue="1">
      <formula>AND(NOT($C11=""),I11="")</formula>
    </cfRule>
    <cfRule type="expression" dxfId="1758" priority="1750" stopIfTrue="1">
      <formula>BF11="0"</formula>
    </cfRule>
  </conditionalFormatting>
  <conditionalFormatting sqref="J11">
    <cfRule type="expression" dxfId="1757" priority="1747" stopIfTrue="1">
      <formula>AND(NOT($C11=""),J11="")</formula>
    </cfRule>
    <cfRule type="expression" dxfId="1756" priority="1748" stopIfTrue="1">
      <formula>BK11="0"</formula>
    </cfRule>
  </conditionalFormatting>
  <conditionalFormatting sqref="K11">
    <cfRule type="expression" dxfId="1755" priority="1745" stopIfTrue="1">
      <formula>AND(NOT($C11=""),K11="")</formula>
    </cfRule>
    <cfRule type="expression" dxfId="1754" priority="1746" stopIfTrue="1">
      <formula>BP11="0"</formula>
    </cfRule>
  </conditionalFormatting>
  <conditionalFormatting sqref="L11">
    <cfRule type="expression" dxfId="1753" priority="1743" stopIfTrue="1">
      <formula>AND(NOT($C11=""),L11="")</formula>
    </cfRule>
    <cfRule type="expression" dxfId="1752" priority="1744" stopIfTrue="1">
      <formula>BU11="0"</formula>
    </cfRule>
  </conditionalFormatting>
  <conditionalFormatting sqref="N11">
    <cfRule type="expression" dxfId="1751" priority="1741" stopIfTrue="1">
      <formula>AND(NOT($C11=""),N11="")</formula>
    </cfRule>
    <cfRule type="expression" dxfId="1750" priority="1742" stopIfTrue="1">
      <formula>CE11="0"</formula>
    </cfRule>
  </conditionalFormatting>
  <conditionalFormatting sqref="M11">
    <cfRule type="expression" dxfId="1749" priority="1740" stopIfTrue="1">
      <formula>BZ11="0"</formula>
    </cfRule>
  </conditionalFormatting>
  <conditionalFormatting sqref="D11">
    <cfRule type="expression" dxfId="1748" priority="1738" stopIfTrue="1">
      <formula>AND(NOT($C11=""),D11="")</formula>
    </cfRule>
    <cfRule type="expression" dxfId="1747" priority="1739" stopIfTrue="1">
      <formula>AG11="0"</formula>
    </cfRule>
  </conditionalFormatting>
  <conditionalFormatting sqref="E11">
    <cfRule type="expression" dxfId="1746" priority="1736" stopIfTrue="1">
      <formula>AND(NOT($C11=""),E11="")</formula>
    </cfRule>
    <cfRule type="expression" dxfId="1745" priority="1737" stopIfTrue="1">
      <formula>AL11="0"</formula>
    </cfRule>
  </conditionalFormatting>
  <conditionalFormatting sqref="F11">
    <cfRule type="expression" dxfId="1744" priority="1734" stopIfTrue="1">
      <formula>AND(NOT($C11=""),F11="")</formula>
    </cfRule>
    <cfRule type="expression" dxfId="1743" priority="1735" stopIfTrue="1">
      <formula>AQ11="0"</formula>
    </cfRule>
  </conditionalFormatting>
  <conditionalFormatting sqref="G11">
    <cfRule type="expression" dxfId="1742" priority="1732" stopIfTrue="1">
      <formula>AND(NOT($C11=""),G11="")</formula>
    </cfRule>
    <cfRule type="expression" dxfId="1741" priority="1733" stopIfTrue="1">
      <formula>AV11="0"</formula>
    </cfRule>
  </conditionalFormatting>
  <conditionalFormatting sqref="H11">
    <cfRule type="expression" dxfId="1740" priority="1730" stopIfTrue="1">
      <formula>AND(NOT($C11=""),H11="")</formula>
    </cfRule>
    <cfRule type="expression" dxfId="1739" priority="1731" stopIfTrue="1">
      <formula>BA11="0"</formula>
    </cfRule>
  </conditionalFormatting>
  <conditionalFormatting sqref="I11">
    <cfRule type="expression" dxfId="1738" priority="1728" stopIfTrue="1">
      <formula>AND(NOT($C11=""),I11="")</formula>
    </cfRule>
    <cfRule type="expression" dxfId="1737" priority="1729" stopIfTrue="1">
      <formula>BF11="0"</formula>
    </cfRule>
  </conditionalFormatting>
  <conditionalFormatting sqref="J11">
    <cfRule type="expression" dxfId="1736" priority="1726" stopIfTrue="1">
      <formula>AND(NOT($C11=""),J11="")</formula>
    </cfRule>
    <cfRule type="expression" dxfId="1735" priority="1727" stopIfTrue="1">
      <formula>BK11="0"</formula>
    </cfRule>
  </conditionalFormatting>
  <conditionalFormatting sqref="K11">
    <cfRule type="expression" dxfId="1734" priority="1724" stopIfTrue="1">
      <formula>AND(NOT($C11=""),K11="")</formula>
    </cfRule>
    <cfRule type="expression" dxfId="1733" priority="1725" stopIfTrue="1">
      <formula>BP11="0"</formula>
    </cfRule>
  </conditionalFormatting>
  <conditionalFormatting sqref="L11">
    <cfRule type="expression" dxfId="1732" priority="1722" stopIfTrue="1">
      <formula>AND(NOT($C11=""),L11="")</formula>
    </cfRule>
    <cfRule type="expression" dxfId="1731" priority="1723" stopIfTrue="1">
      <formula>BU11="0"</formula>
    </cfRule>
  </conditionalFormatting>
  <conditionalFormatting sqref="N11">
    <cfRule type="expression" dxfId="1730" priority="1720" stopIfTrue="1">
      <formula>AND(NOT($C11=""),N11="")</formula>
    </cfRule>
    <cfRule type="expression" dxfId="1729" priority="1721" stopIfTrue="1">
      <formula>CE11="0"</formula>
    </cfRule>
  </conditionalFormatting>
  <conditionalFormatting sqref="M11">
    <cfRule type="expression" dxfId="1728" priority="1719" stopIfTrue="1">
      <formula>BZ11="0"</formula>
    </cfRule>
  </conditionalFormatting>
  <conditionalFormatting sqref="D11">
    <cfRule type="expression" dxfId="1727" priority="1717" stopIfTrue="1">
      <formula>AND(NOT($C11=""),D11="")</formula>
    </cfRule>
    <cfRule type="expression" dxfId="1726" priority="1718" stopIfTrue="1">
      <formula>AG11="0"</formula>
    </cfRule>
  </conditionalFormatting>
  <conditionalFormatting sqref="E11">
    <cfRule type="expression" dxfId="1725" priority="1715" stopIfTrue="1">
      <formula>AND(NOT($C11=""),E11="")</formula>
    </cfRule>
    <cfRule type="expression" dxfId="1724" priority="1716" stopIfTrue="1">
      <formula>AL11="0"</formula>
    </cfRule>
  </conditionalFormatting>
  <conditionalFormatting sqref="F11">
    <cfRule type="expression" dxfId="1723" priority="1713" stopIfTrue="1">
      <formula>AND(NOT($C11=""),F11="")</formula>
    </cfRule>
    <cfRule type="expression" dxfId="1722" priority="1714" stopIfTrue="1">
      <formula>AQ11="0"</formula>
    </cfRule>
  </conditionalFormatting>
  <conditionalFormatting sqref="G11">
    <cfRule type="expression" dxfId="1721" priority="1711" stopIfTrue="1">
      <formula>AND(NOT($C11=""),G11="")</formula>
    </cfRule>
    <cfRule type="expression" dxfId="1720" priority="1712" stopIfTrue="1">
      <formula>AV11="0"</formula>
    </cfRule>
  </conditionalFormatting>
  <conditionalFormatting sqref="H11">
    <cfRule type="expression" dxfId="1719" priority="1709" stopIfTrue="1">
      <formula>AND(NOT($C11=""),H11="")</formula>
    </cfRule>
    <cfRule type="expression" dxfId="1718" priority="1710" stopIfTrue="1">
      <formula>BA11="0"</formula>
    </cfRule>
  </conditionalFormatting>
  <conditionalFormatting sqref="I11">
    <cfRule type="expression" dxfId="1717" priority="1707" stopIfTrue="1">
      <formula>AND(NOT($C11=""),I11="")</formula>
    </cfRule>
    <cfRule type="expression" dxfId="1716" priority="1708" stopIfTrue="1">
      <formula>BF11="0"</formula>
    </cfRule>
  </conditionalFormatting>
  <conditionalFormatting sqref="J11">
    <cfRule type="expression" dxfId="1715" priority="1705" stopIfTrue="1">
      <formula>AND(NOT($C11=""),J11="")</formula>
    </cfRule>
    <cfRule type="expression" dxfId="1714" priority="1706" stopIfTrue="1">
      <formula>BK11="0"</formula>
    </cfRule>
  </conditionalFormatting>
  <conditionalFormatting sqref="K11">
    <cfRule type="expression" dxfId="1713" priority="1703" stopIfTrue="1">
      <formula>AND(NOT($C11=""),K11="")</formula>
    </cfRule>
    <cfRule type="expression" dxfId="1712" priority="1704" stopIfTrue="1">
      <formula>BP11="0"</formula>
    </cfRule>
  </conditionalFormatting>
  <conditionalFormatting sqref="L11">
    <cfRule type="expression" dxfId="1711" priority="1701" stopIfTrue="1">
      <formula>AND(NOT($C11=""),L11="")</formula>
    </cfRule>
    <cfRule type="expression" dxfId="1710" priority="1702" stopIfTrue="1">
      <formula>BU11="0"</formula>
    </cfRule>
  </conditionalFormatting>
  <conditionalFormatting sqref="N11">
    <cfRule type="expression" dxfId="1709" priority="1699" stopIfTrue="1">
      <formula>AND(NOT($C11=""),N11="")</formula>
    </cfRule>
    <cfRule type="expression" dxfId="1708" priority="1700" stopIfTrue="1">
      <formula>CE11="0"</formula>
    </cfRule>
  </conditionalFormatting>
  <conditionalFormatting sqref="M11">
    <cfRule type="expression" dxfId="1707" priority="1698" stopIfTrue="1">
      <formula>BZ11="0"</formula>
    </cfRule>
  </conditionalFormatting>
  <conditionalFormatting sqref="D11">
    <cfRule type="expression" dxfId="1706" priority="1696" stopIfTrue="1">
      <formula>AND(NOT($C11=""),D11="")</formula>
    </cfRule>
    <cfRule type="expression" dxfId="1705" priority="1697" stopIfTrue="1">
      <formula>AG11="0"</formula>
    </cfRule>
  </conditionalFormatting>
  <conditionalFormatting sqref="E11">
    <cfRule type="expression" dxfId="1704" priority="1694" stopIfTrue="1">
      <formula>AND(NOT($C11=""),E11="")</formula>
    </cfRule>
    <cfRule type="expression" dxfId="1703" priority="1695" stopIfTrue="1">
      <formula>AL11="0"</formula>
    </cfRule>
  </conditionalFormatting>
  <conditionalFormatting sqref="F11">
    <cfRule type="expression" dxfId="1702" priority="1692" stopIfTrue="1">
      <formula>AND(NOT($C11=""),F11="")</formula>
    </cfRule>
    <cfRule type="expression" dxfId="1701" priority="1693" stopIfTrue="1">
      <formula>AQ11="0"</formula>
    </cfRule>
  </conditionalFormatting>
  <conditionalFormatting sqref="G11">
    <cfRule type="expression" dxfId="1700" priority="1690" stopIfTrue="1">
      <formula>AND(NOT($C11=""),G11="")</formula>
    </cfRule>
    <cfRule type="expression" dxfId="1699" priority="1691" stopIfTrue="1">
      <formula>AV11="0"</formula>
    </cfRule>
  </conditionalFormatting>
  <conditionalFormatting sqref="H11">
    <cfRule type="expression" dxfId="1698" priority="1688" stopIfTrue="1">
      <formula>AND(NOT($C11=""),H11="")</formula>
    </cfRule>
    <cfRule type="expression" dxfId="1697" priority="1689" stopIfTrue="1">
      <formula>BA11="0"</formula>
    </cfRule>
  </conditionalFormatting>
  <conditionalFormatting sqref="I11">
    <cfRule type="expression" dxfId="1696" priority="1686" stopIfTrue="1">
      <formula>AND(NOT($C11=""),I11="")</formula>
    </cfRule>
    <cfRule type="expression" dxfId="1695" priority="1687" stopIfTrue="1">
      <formula>BF11="0"</formula>
    </cfRule>
  </conditionalFormatting>
  <conditionalFormatting sqref="J11">
    <cfRule type="expression" dxfId="1694" priority="1684" stopIfTrue="1">
      <formula>AND(NOT($C11=""),J11="")</formula>
    </cfRule>
    <cfRule type="expression" dxfId="1693" priority="1685" stopIfTrue="1">
      <formula>BK11="0"</formula>
    </cfRule>
  </conditionalFormatting>
  <conditionalFormatting sqref="K11">
    <cfRule type="expression" dxfId="1692" priority="1682" stopIfTrue="1">
      <formula>AND(NOT($C11=""),K11="")</formula>
    </cfRule>
    <cfRule type="expression" dxfId="1691" priority="1683" stopIfTrue="1">
      <formula>BP11="0"</formula>
    </cfRule>
  </conditionalFormatting>
  <conditionalFormatting sqref="L11">
    <cfRule type="expression" dxfId="1690" priority="1680" stopIfTrue="1">
      <formula>AND(NOT($C11=""),L11="")</formula>
    </cfRule>
    <cfRule type="expression" dxfId="1689" priority="1681" stopIfTrue="1">
      <formula>BU11="0"</formula>
    </cfRule>
  </conditionalFormatting>
  <conditionalFormatting sqref="N11">
    <cfRule type="expression" dxfId="1688" priority="1678" stopIfTrue="1">
      <formula>AND(NOT($C11=""),N11="")</formula>
    </cfRule>
    <cfRule type="expression" dxfId="1687" priority="1679" stopIfTrue="1">
      <formula>CE11="0"</formula>
    </cfRule>
  </conditionalFormatting>
  <conditionalFormatting sqref="M11">
    <cfRule type="expression" dxfId="1686" priority="1677" stopIfTrue="1">
      <formula>BZ11="0"</formula>
    </cfRule>
  </conditionalFormatting>
  <conditionalFormatting sqref="D11">
    <cfRule type="expression" dxfId="1685" priority="1675" stopIfTrue="1">
      <formula>AND(NOT($C11=""),D11="")</formula>
    </cfRule>
    <cfRule type="expression" dxfId="1684" priority="1676" stopIfTrue="1">
      <formula>AG11="0"</formula>
    </cfRule>
  </conditionalFormatting>
  <conditionalFormatting sqref="E11">
    <cfRule type="expression" dxfId="1683" priority="1673" stopIfTrue="1">
      <formula>AND(NOT($C11=""),E11="")</formula>
    </cfRule>
    <cfRule type="expression" dxfId="1682" priority="1674" stopIfTrue="1">
      <formula>AL11="0"</formula>
    </cfRule>
  </conditionalFormatting>
  <conditionalFormatting sqref="F11">
    <cfRule type="expression" dxfId="1681" priority="1671" stopIfTrue="1">
      <formula>AND(NOT($C11=""),F11="")</formula>
    </cfRule>
    <cfRule type="expression" dxfId="1680" priority="1672" stopIfTrue="1">
      <formula>AQ11="0"</formula>
    </cfRule>
  </conditionalFormatting>
  <conditionalFormatting sqref="G11">
    <cfRule type="expression" dxfId="1679" priority="1669" stopIfTrue="1">
      <formula>AND(NOT($C11=""),G11="")</formula>
    </cfRule>
    <cfRule type="expression" dxfId="1678" priority="1670" stopIfTrue="1">
      <formula>AV11="0"</formula>
    </cfRule>
  </conditionalFormatting>
  <conditionalFormatting sqref="H11">
    <cfRule type="expression" dxfId="1677" priority="1667" stopIfTrue="1">
      <formula>AND(NOT($C11=""),H11="")</formula>
    </cfRule>
    <cfRule type="expression" dxfId="1676" priority="1668" stopIfTrue="1">
      <formula>BA11="0"</formula>
    </cfRule>
  </conditionalFormatting>
  <conditionalFormatting sqref="I11">
    <cfRule type="expression" dxfId="1675" priority="1665" stopIfTrue="1">
      <formula>AND(NOT($C11=""),I11="")</formula>
    </cfRule>
    <cfRule type="expression" dxfId="1674" priority="1666" stopIfTrue="1">
      <formula>BF11="0"</formula>
    </cfRule>
  </conditionalFormatting>
  <conditionalFormatting sqref="J11">
    <cfRule type="expression" dxfId="1673" priority="1663" stopIfTrue="1">
      <formula>AND(NOT($C11=""),J11="")</formula>
    </cfRule>
    <cfRule type="expression" dxfId="1672" priority="1664" stopIfTrue="1">
      <formula>BK11="0"</formula>
    </cfRule>
  </conditionalFormatting>
  <conditionalFormatting sqref="K11">
    <cfRule type="expression" dxfId="1671" priority="1661" stopIfTrue="1">
      <formula>AND(NOT($C11=""),K11="")</formula>
    </cfRule>
    <cfRule type="expression" dxfId="1670" priority="1662" stopIfTrue="1">
      <formula>BP11="0"</formula>
    </cfRule>
  </conditionalFormatting>
  <conditionalFormatting sqref="L11">
    <cfRule type="expression" dxfId="1669" priority="1659" stopIfTrue="1">
      <formula>AND(NOT($C11=""),L11="")</formula>
    </cfRule>
    <cfRule type="expression" dxfId="1668" priority="1660" stopIfTrue="1">
      <formula>BU11="0"</formula>
    </cfRule>
  </conditionalFormatting>
  <conditionalFormatting sqref="N11">
    <cfRule type="expression" dxfId="1667" priority="1657" stopIfTrue="1">
      <formula>AND(NOT($C11=""),N11="")</formula>
    </cfRule>
    <cfRule type="expression" dxfId="1666" priority="1658" stopIfTrue="1">
      <formula>CE11="0"</formula>
    </cfRule>
  </conditionalFormatting>
  <conditionalFormatting sqref="M11">
    <cfRule type="expression" dxfId="1665" priority="1656" stopIfTrue="1">
      <formula>BZ11="0"</formula>
    </cfRule>
  </conditionalFormatting>
  <conditionalFormatting sqref="D11">
    <cfRule type="expression" dxfId="1664" priority="1654" stopIfTrue="1">
      <formula>AND(NOT($C11=""),D11="")</formula>
    </cfRule>
    <cfRule type="expression" dxfId="1663" priority="1655" stopIfTrue="1">
      <formula>AG11="0"</formula>
    </cfRule>
  </conditionalFormatting>
  <conditionalFormatting sqref="E11">
    <cfRule type="expression" dxfId="1662" priority="1652" stopIfTrue="1">
      <formula>AND(NOT($C11=""),E11="")</formula>
    </cfRule>
    <cfRule type="expression" dxfId="1661" priority="1653" stopIfTrue="1">
      <formula>AL11="0"</formula>
    </cfRule>
  </conditionalFormatting>
  <conditionalFormatting sqref="F11">
    <cfRule type="expression" dxfId="1660" priority="1650" stopIfTrue="1">
      <formula>AND(NOT($C11=""),F11="")</formula>
    </cfRule>
    <cfRule type="expression" dxfId="1659" priority="1651" stopIfTrue="1">
      <formula>AQ11="0"</formula>
    </cfRule>
  </conditionalFormatting>
  <conditionalFormatting sqref="G11">
    <cfRule type="expression" dxfId="1658" priority="1648" stopIfTrue="1">
      <formula>AND(NOT($C11=""),G11="")</formula>
    </cfRule>
    <cfRule type="expression" dxfId="1657" priority="1649" stopIfTrue="1">
      <formula>AV11="0"</formula>
    </cfRule>
  </conditionalFormatting>
  <conditionalFormatting sqref="H11">
    <cfRule type="expression" dxfId="1656" priority="1646" stopIfTrue="1">
      <formula>AND(NOT($C11=""),H11="")</formula>
    </cfRule>
    <cfRule type="expression" dxfId="1655" priority="1647" stopIfTrue="1">
      <formula>BA11="0"</formula>
    </cfRule>
  </conditionalFormatting>
  <conditionalFormatting sqref="I11">
    <cfRule type="expression" dxfId="1654" priority="1644" stopIfTrue="1">
      <formula>AND(NOT($C11=""),I11="")</formula>
    </cfRule>
    <cfRule type="expression" dxfId="1653" priority="1645" stopIfTrue="1">
      <formula>BF11="0"</formula>
    </cfRule>
  </conditionalFormatting>
  <conditionalFormatting sqref="J11">
    <cfRule type="expression" dxfId="1652" priority="1642" stopIfTrue="1">
      <formula>AND(NOT($C11=""),J11="")</formula>
    </cfRule>
    <cfRule type="expression" dxfId="1651" priority="1643" stopIfTrue="1">
      <formula>BK11="0"</formula>
    </cfRule>
  </conditionalFormatting>
  <conditionalFormatting sqref="K11">
    <cfRule type="expression" dxfId="1650" priority="1640" stopIfTrue="1">
      <formula>AND(NOT($C11=""),K11="")</formula>
    </cfRule>
    <cfRule type="expression" dxfId="1649" priority="1641" stopIfTrue="1">
      <formula>BP11="0"</formula>
    </cfRule>
  </conditionalFormatting>
  <conditionalFormatting sqref="L11">
    <cfRule type="expression" dxfId="1648" priority="1638" stopIfTrue="1">
      <formula>AND(NOT($C11=""),L11="")</formula>
    </cfRule>
    <cfRule type="expression" dxfId="1647" priority="1639" stopIfTrue="1">
      <formula>BU11="0"</formula>
    </cfRule>
  </conditionalFormatting>
  <conditionalFormatting sqref="N11">
    <cfRule type="expression" dxfId="1646" priority="1636" stopIfTrue="1">
      <formula>AND(NOT($C11=""),N11="")</formula>
    </cfRule>
    <cfRule type="expression" dxfId="1645" priority="1637" stopIfTrue="1">
      <formula>CE11="0"</formula>
    </cfRule>
  </conditionalFormatting>
  <conditionalFormatting sqref="M11">
    <cfRule type="expression" dxfId="1644" priority="1635" stopIfTrue="1">
      <formula>BZ11="0"</formula>
    </cfRule>
  </conditionalFormatting>
  <conditionalFormatting sqref="D11">
    <cfRule type="expression" dxfId="1643" priority="1633" stopIfTrue="1">
      <formula>AND(NOT($C11=""),D11="")</formula>
    </cfRule>
    <cfRule type="expression" dxfId="1642" priority="1634" stopIfTrue="1">
      <formula>AG11="0"</formula>
    </cfRule>
  </conditionalFormatting>
  <conditionalFormatting sqref="E11">
    <cfRule type="expression" dxfId="1641" priority="1631" stopIfTrue="1">
      <formula>AND(NOT($C11=""),E11="")</formula>
    </cfRule>
    <cfRule type="expression" dxfId="1640" priority="1632" stopIfTrue="1">
      <formula>AL11="0"</formula>
    </cfRule>
  </conditionalFormatting>
  <conditionalFormatting sqref="F11">
    <cfRule type="expression" dxfId="1639" priority="1629" stopIfTrue="1">
      <formula>AND(NOT($C11=""),F11="")</formula>
    </cfRule>
    <cfRule type="expression" dxfId="1638" priority="1630" stopIfTrue="1">
      <formula>AQ11="0"</formula>
    </cfRule>
  </conditionalFormatting>
  <conditionalFormatting sqref="G11">
    <cfRule type="expression" dxfId="1637" priority="1627" stopIfTrue="1">
      <formula>AND(NOT($C11=""),G11="")</formula>
    </cfRule>
    <cfRule type="expression" dxfId="1636" priority="1628" stopIfTrue="1">
      <formula>AV11="0"</formula>
    </cfRule>
  </conditionalFormatting>
  <conditionalFormatting sqref="H11">
    <cfRule type="expression" dxfId="1635" priority="1625" stopIfTrue="1">
      <formula>AND(NOT($C11=""),H11="")</formula>
    </cfRule>
    <cfRule type="expression" dxfId="1634" priority="1626" stopIfTrue="1">
      <formula>BA11="0"</formula>
    </cfRule>
  </conditionalFormatting>
  <conditionalFormatting sqref="I11">
    <cfRule type="expression" dxfId="1633" priority="1623" stopIfTrue="1">
      <formula>AND(NOT($C11=""),I11="")</formula>
    </cfRule>
    <cfRule type="expression" dxfId="1632" priority="1624" stopIfTrue="1">
      <formula>BF11="0"</formula>
    </cfRule>
  </conditionalFormatting>
  <conditionalFormatting sqref="J11">
    <cfRule type="expression" dxfId="1631" priority="1621" stopIfTrue="1">
      <formula>AND(NOT($C11=""),J11="")</formula>
    </cfRule>
    <cfRule type="expression" dxfId="1630" priority="1622" stopIfTrue="1">
      <formula>BK11="0"</formula>
    </cfRule>
  </conditionalFormatting>
  <conditionalFormatting sqref="K11">
    <cfRule type="expression" dxfId="1629" priority="1619" stopIfTrue="1">
      <formula>AND(NOT($C11=""),K11="")</formula>
    </cfRule>
    <cfRule type="expression" dxfId="1628" priority="1620" stopIfTrue="1">
      <formula>BP11="0"</formula>
    </cfRule>
  </conditionalFormatting>
  <conditionalFormatting sqref="L11">
    <cfRule type="expression" dxfId="1627" priority="1617" stopIfTrue="1">
      <formula>AND(NOT($C11=""),L11="")</formula>
    </cfRule>
    <cfRule type="expression" dxfId="1626" priority="1618" stopIfTrue="1">
      <formula>BU11="0"</formula>
    </cfRule>
  </conditionalFormatting>
  <conditionalFormatting sqref="N11">
    <cfRule type="expression" dxfId="1625" priority="1615" stopIfTrue="1">
      <formula>AND(NOT($C11=""),N11="")</formula>
    </cfRule>
    <cfRule type="expression" dxfId="1624" priority="1616" stopIfTrue="1">
      <formula>CE11="0"</formula>
    </cfRule>
  </conditionalFormatting>
  <conditionalFormatting sqref="M11">
    <cfRule type="expression" dxfId="1623" priority="1614" stopIfTrue="1">
      <formula>BZ11="0"</formula>
    </cfRule>
  </conditionalFormatting>
  <conditionalFormatting sqref="D11">
    <cfRule type="expression" dxfId="1622" priority="1612" stopIfTrue="1">
      <formula>AND(NOT($C11=""),D11="")</formula>
    </cfRule>
    <cfRule type="expression" dxfId="1621" priority="1613" stopIfTrue="1">
      <formula>AG11="0"</formula>
    </cfRule>
  </conditionalFormatting>
  <conditionalFormatting sqref="E11">
    <cfRule type="expression" dxfId="1620" priority="1610" stopIfTrue="1">
      <formula>AND(NOT($C11=""),E11="")</formula>
    </cfRule>
    <cfRule type="expression" dxfId="1619" priority="1611" stopIfTrue="1">
      <formula>AL11="0"</formula>
    </cfRule>
  </conditionalFormatting>
  <conditionalFormatting sqref="F11">
    <cfRule type="expression" dxfId="1618" priority="1608" stopIfTrue="1">
      <formula>AND(NOT($C11=""),F11="")</formula>
    </cfRule>
    <cfRule type="expression" dxfId="1617" priority="1609" stopIfTrue="1">
      <formula>AQ11="0"</formula>
    </cfRule>
  </conditionalFormatting>
  <conditionalFormatting sqref="G11">
    <cfRule type="expression" dxfId="1616" priority="1606" stopIfTrue="1">
      <formula>AND(NOT($C11=""),G11="")</formula>
    </cfRule>
    <cfRule type="expression" dxfId="1615" priority="1607" stopIfTrue="1">
      <formula>AV11="0"</formula>
    </cfRule>
  </conditionalFormatting>
  <conditionalFormatting sqref="H11">
    <cfRule type="expression" dxfId="1614" priority="1604" stopIfTrue="1">
      <formula>AND(NOT($C11=""),H11="")</formula>
    </cfRule>
    <cfRule type="expression" dxfId="1613" priority="1605" stopIfTrue="1">
      <formula>BA11="0"</formula>
    </cfRule>
  </conditionalFormatting>
  <conditionalFormatting sqref="I11">
    <cfRule type="expression" dxfId="1612" priority="1602" stopIfTrue="1">
      <formula>AND(NOT($C11=""),I11="")</formula>
    </cfRule>
    <cfRule type="expression" dxfId="1611" priority="1603" stopIfTrue="1">
      <formula>BF11="0"</formula>
    </cfRule>
  </conditionalFormatting>
  <conditionalFormatting sqref="J11">
    <cfRule type="expression" dxfId="1610" priority="1600" stopIfTrue="1">
      <formula>AND(NOT($C11=""),J11="")</formula>
    </cfRule>
    <cfRule type="expression" dxfId="1609" priority="1601" stopIfTrue="1">
      <formula>BK11="0"</formula>
    </cfRule>
  </conditionalFormatting>
  <conditionalFormatting sqref="K11">
    <cfRule type="expression" dxfId="1608" priority="1598" stopIfTrue="1">
      <formula>AND(NOT($C11=""),K11="")</formula>
    </cfRule>
    <cfRule type="expression" dxfId="1607" priority="1599" stopIfTrue="1">
      <formula>BP11="0"</formula>
    </cfRule>
  </conditionalFormatting>
  <conditionalFormatting sqref="L11">
    <cfRule type="expression" dxfId="1606" priority="1596" stopIfTrue="1">
      <formula>AND(NOT($C11=""),L11="")</formula>
    </cfRule>
    <cfRule type="expression" dxfId="1605" priority="1597" stopIfTrue="1">
      <formula>BU11="0"</formula>
    </cfRule>
  </conditionalFormatting>
  <conditionalFormatting sqref="N11">
    <cfRule type="expression" dxfId="1604" priority="1594" stopIfTrue="1">
      <formula>AND(NOT($C11=""),N11="")</formula>
    </cfRule>
    <cfRule type="expression" dxfId="1603" priority="1595" stopIfTrue="1">
      <formula>CE11="0"</formula>
    </cfRule>
  </conditionalFormatting>
  <conditionalFormatting sqref="M11">
    <cfRule type="expression" dxfId="1602" priority="1593" stopIfTrue="1">
      <formula>BZ11="0"</formula>
    </cfRule>
  </conditionalFormatting>
  <conditionalFormatting sqref="D11">
    <cfRule type="expression" dxfId="1601" priority="1591" stopIfTrue="1">
      <formula>AND(NOT($C11=""),D11="")</formula>
    </cfRule>
    <cfRule type="expression" dxfId="1600" priority="1592" stopIfTrue="1">
      <formula>AG11="0"</formula>
    </cfRule>
  </conditionalFormatting>
  <conditionalFormatting sqref="E11">
    <cfRule type="expression" dxfId="1599" priority="1589" stopIfTrue="1">
      <formula>AND(NOT($C11=""),E11="")</formula>
    </cfRule>
    <cfRule type="expression" dxfId="1598" priority="1590" stopIfTrue="1">
      <formula>AL11="0"</formula>
    </cfRule>
  </conditionalFormatting>
  <conditionalFormatting sqref="F11">
    <cfRule type="expression" dxfId="1597" priority="1587" stopIfTrue="1">
      <formula>AND(NOT($C11=""),F11="")</formula>
    </cfRule>
    <cfRule type="expression" dxfId="1596" priority="1588" stopIfTrue="1">
      <formula>AQ11="0"</formula>
    </cfRule>
  </conditionalFormatting>
  <conditionalFormatting sqref="G11">
    <cfRule type="expression" dxfId="1595" priority="1585" stopIfTrue="1">
      <formula>AND(NOT($C11=""),G11="")</formula>
    </cfRule>
    <cfRule type="expression" dxfId="1594" priority="1586" stopIfTrue="1">
      <formula>AV11="0"</formula>
    </cfRule>
  </conditionalFormatting>
  <conditionalFormatting sqref="H11">
    <cfRule type="expression" dxfId="1593" priority="1583" stopIfTrue="1">
      <formula>AND(NOT($C11=""),H11="")</formula>
    </cfRule>
    <cfRule type="expression" dxfId="1592" priority="1584" stopIfTrue="1">
      <formula>BA11="0"</formula>
    </cfRule>
  </conditionalFormatting>
  <conditionalFormatting sqref="I11">
    <cfRule type="expression" dxfId="1591" priority="1581" stopIfTrue="1">
      <formula>AND(NOT($C11=""),I11="")</formula>
    </cfRule>
    <cfRule type="expression" dxfId="1590" priority="1582" stopIfTrue="1">
      <formula>BF11="0"</formula>
    </cfRule>
  </conditionalFormatting>
  <conditionalFormatting sqref="J11">
    <cfRule type="expression" dxfId="1589" priority="1579" stopIfTrue="1">
      <formula>AND(NOT($C11=""),J11="")</formula>
    </cfRule>
    <cfRule type="expression" dxfId="1588" priority="1580" stopIfTrue="1">
      <formula>BK11="0"</formula>
    </cfRule>
  </conditionalFormatting>
  <conditionalFormatting sqref="K11">
    <cfRule type="expression" dxfId="1587" priority="1577" stopIfTrue="1">
      <formula>AND(NOT($C11=""),K11="")</formula>
    </cfRule>
    <cfRule type="expression" dxfId="1586" priority="1578" stopIfTrue="1">
      <formula>BP11="0"</formula>
    </cfRule>
  </conditionalFormatting>
  <conditionalFormatting sqref="L11">
    <cfRule type="expression" dxfId="1585" priority="1575" stopIfTrue="1">
      <formula>AND(NOT($C11=""),L11="")</formula>
    </cfRule>
    <cfRule type="expression" dxfId="1584" priority="1576" stopIfTrue="1">
      <formula>BU11="0"</formula>
    </cfRule>
  </conditionalFormatting>
  <conditionalFormatting sqref="N11">
    <cfRule type="expression" dxfId="1583" priority="1573" stopIfTrue="1">
      <formula>AND(NOT($C11=""),N11="")</formula>
    </cfRule>
    <cfRule type="expression" dxfId="1582" priority="1574" stopIfTrue="1">
      <formula>CE11="0"</formula>
    </cfRule>
  </conditionalFormatting>
  <conditionalFormatting sqref="M31">
    <cfRule type="expression" dxfId="1581" priority="1572" stopIfTrue="1">
      <formula>BZ31="0"</formula>
    </cfRule>
  </conditionalFormatting>
  <conditionalFormatting sqref="D31">
    <cfRule type="expression" dxfId="1580" priority="1570" stopIfTrue="1">
      <formula>AND(NOT($C31=""),D31="")</formula>
    </cfRule>
    <cfRule type="expression" dxfId="1579" priority="1571" stopIfTrue="1">
      <formula>AG31="0"</formula>
    </cfRule>
  </conditionalFormatting>
  <conditionalFormatting sqref="E31">
    <cfRule type="expression" dxfId="1578" priority="1568" stopIfTrue="1">
      <formula>AND(NOT($C31=""),E31="")</formula>
    </cfRule>
    <cfRule type="expression" dxfId="1577" priority="1569" stopIfTrue="1">
      <formula>AL31="0"</formula>
    </cfRule>
  </conditionalFormatting>
  <conditionalFormatting sqref="F31">
    <cfRule type="expression" dxfId="1576" priority="1566" stopIfTrue="1">
      <formula>AND(NOT($C31=""),F31="")</formula>
    </cfRule>
    <cfRule type="expression" dxfId="1575" priority="1567" stopIfTrue="1">
      <formula>AQ31="0"</formula>
    </cfRule>
  </conditionalFormatting>
  <conditionalFormatting sqref="G31">
    <cfRule type="expression" dxfId="1574" priority="1564" stopIfTrue="1">
      <formula>AND(NOT($C31=""),G31="")</formula>
    </cfRule>
    <cfRule type="expression" dxfId="1573" priority="1565" stopIfTrue="1">
      <formula>AV31="0"</formula>
    </cfRule>
  </conditionalFormatting>
  <conditionalFormatting sqref="H31">
    <cfRule type="expression" dxfId="1572" priority="1562" stopIfTrue="1">
      <formula>AND(NOT($C31=""),H31="")</formula>
    </cfRule>
    <cfRule type="expression" dxfId="1571" priority="1563" stopIfTrue="1">
      <formula>BA31="0"</formula>
    </cfRule>
  </conditionalFormatting>
  <conditionalFormatting sqref="I31">
    <cfRule type="expression" dxfId="1570" priority="1560" stopIfTrue="1">
      <formula>AND(NOT($C31=""),I31="")</formula>
    </cfRule>
    <cfRule type="expression" dxfId="1569" priority="1561" stopIfTrue="1">
      <formula>BF31="0"</formula>
    </cfRule>
  </conditionalFormatting>
  <conditionalFormatting sqref="J31">
    <cfRule type="expression" dxfId="1568" priority="1558" stopIfTrue="1">
      <formula>AND(NOT($C31=""),J31="")</formula>
    </cfRule>
    <cfRule type="expression" dxfId="1567" priority="1559" stopIfTrue="1">
      <formula>BK31="0"</formula>
    </cfRule>
  </conditionalFormatting>
  <conditionalFormatting sqref="K31">
    <cfRule type="expression" dxfId="1566" priority="1556" stopIfTrue="1">
      <formula>AND(NOT($C31=""),K31="")</formula>
    </cfRule>
    <cfRule type="expression" dxfId="1565" priority="1557" stopIfTrue="1">
      <formula>BP31="0"</formula>
    </cfRule>
  </conditionalFormatting>
  <conditionalFormatting sqref="L31">
    <cfRule type="expression" dxfId="1564" priority="1554" stopIfTrue="1">
      <formula>AND(NOT($C31=""),L31="")</formula>
    </cfRule>
    <cfRule type="expression" dxfId="1563" priority="1555" stopIfTrue="1">
      <formula>BU31="0"</formula>
    </cfRule>
  </conditionalFormatting>
  <conditionalFormatting sqref="N31">
    <cfRule type="expression" dxfId="1562" priority="1552" stopIfTrue="1">
      <formula>AND(NOT($C31=""),N31="")</formula>
    </cfRule>
    <cfRule type="expression" dxfId="1561" priority="1553" stopIfTrue="1">
      <formula>CE31="0"</formula>
    </cfRule>
  </conditionalFormatting>
  <conditionalFormatting sqref="M31">
    <cfRule type="expression" dxfId="1560" priority="1551" stopIfTrue="1">
      <formula>BZ31="0"</formula>
    </cfRule>
  </conditionalFormatting>
  <conditionalFormatting sqref="D31">
    <cfRule type="expression" dxfId="1559" priority="1549" stopIfTrue="1">
      <formula>AND(NOT($C31=""),D31="")</formula>
    </cfRule>
    <cfRule type="expression" dxfId="1558" priority="1550" stopIfTrue="1">
      <formula>AG31="0"</formula>
    </cfRule>
  </conditionalFormatting>
  <conditionalFormatting sqref="E31">
    <cfRule type="expression" dxfId="1557" priority="1547" stopIfTrue="1">
      <formula>AND(NOT($C31=""),E31="")</formula>
    </cfRule>
    <cfRule type="expression" dxfId="1556" priority="1548" stopIfTrue="1">
      <formula>AL31="0"</formula>
    </cfRule>
  </conditionalFormatting>
  <conditionalFormatting sqref="F31">
    <cfRule type="expression" dxfId="1555" priority="1545" stopIfTrue="1">
      <formula>AND(NOT($C31=""),F31="")</formula>
    </cfRule>
    <cfRule type="expression" dxfId="1554" priority="1546" stopIfTrue="1">
      <formula>AQ31="0"</formula>
    </cfRule>
  </conditionalFormatting>
  <conditionalFormatting sqref="G31">
    <cfRule type="expression" dxfId="1553" priority="1543" stopIfTrue="1">
      <formula>AND(NOT($C31=""),G31="")</formula>
    </cfRule>
    <cfRule type="expression" dxfId="1552" priority="1544" stopIfTrue="1">
      <formula>AV31="0"</formula>
    </cfRule>
  </conditionalFormatting>
  <conditionalFormatting sqref="H31">
    <cfRule type="expression" dxfId="1551" priority="1541" stopIfTrue="1">
      <formula>AND(NOT($C31=""),H31="")</formula>
    </cfRule>
    <cfRule type="expression" dxfId="1550" priority="1542" stopIfTrue="1">
      <formula>BA31="0"</formula>
    </cfRule>
  </conditionalFormatting>
  <conditionalFormatting sqref="I31">
    <cfRule type="expression" dxfId="1549" priority="1539" stopIfTrue="1">
      <formula>AND(NOT($C31=""),I31="")</formula>
    </cfRule>
    <cfRule type="expression" dxfId="1548" priority="1540" stopIfTrue="1">
      <formula>BF31="0"</formula>
    </cfRule>
  </conditionalFormatting>
  <conditionalFormatting sqref="J31">
    <cfRule type="expression" dxfId="1547" priority="1537" stopIfTrue="1">
      <formula>AND(NOT($C31=""),J31="")</formula>
    </cfRule>
    <cfRule type="expression" dxfId="1546" priority="1538" stopIfTrue="1">
      <formula>BK31="0"</formula>
    </cfRule>
  </conditionalFormatting>
  <conditionalFormatting sqref="K31">
    <cfRule type="expression" dxfId="1545" priority="1535" stopIfTrue="1">
      <formula>AND(NOT($C31=""),K31="")</formula>
    </cfRule>
    <cfRule type="expression" dxfId="1544" priority="1536" stopIfTrue="1">
      <formula>BP31="0"</formula>
    </cfRule>
  </conditionalFormatting>
  <conditionalFormatting sqref="L31">
    <cfRule type="expression" dxfId="1543" priority="1533" stopIfTrue="1">
      <formula>AND(NOT($C31=""),L31="")</formula>
    </cfRule>
    <cfRule type="expression" dxfId="1542" priority="1534" stopIfTrue="1">
      <formula>BU31="0"</formula>
    </cfRule>
  </conditionalFormatting>
  <conditionalFormatting sqref="N31">
    <cfRule type="expression" dxfId="1541" priority="1531" stopIfTrue="1">
      <formula>AND(NOT($C31=""),N31="")</formula>
    </cfRule>
    <cfRule type="expression" dxfId="1540" priority="1532" stopIfTrue="1">
      <formula>CE31="0"</formula>
    </cfRule>
  </conditionalFormatting>
  <conditionalFormatting sqref="M31">
    <cfRule type="expression" dxfId="1539" priority="1530" stopIfTrue="1">
      <formula>BZ31="0"</formula>
    </cfRule>
  </conditionalFormatting>
  <conditionalFormatting sqref="D31">
    <cfRule type="expression" dxfId="1538" priority="1528" stopIfTrue="1">
      <formula>AND(NOT($C31=""),D31="")</formula>
    </cfRule>
    <cfRule type="expression" dxfId="1537" priority="1529" stopIfTrue="1">
      <formula>AG31="0"</formula>
    </cfRule>
  </conditionalFormatting>
  <conditionalFormatting sqref="E31">
    <cfRule type="expression" dxfId="1536" priority="1526" stopIfTrue="1">
      <formula>AND(NOT($C31=""),E31="")</formula>
    </cfRule>
    <cfRule type="expression" dxfId="1535" priority="1527" stopIfTrue="1">
      <formula>AL31="0"</formula>
    </cfRule>
  </conditionalFormatting>
  <conditionalFormatting sqref="F31">
    <cfRule type="expression" dxfId="1534" priority="1524" stopIfTrue="1">
      <formula>AND(NOT($C31=""),F31="")</formula>
    </cfRule>
    <cfRule type="expression" dxfId="1533" priority="1525" stopIfTrue="1">
      <formula>AQ31="0"</formula>
    </cfRule>
  </conditionalFormatting>
  <conditionalFormatting sqref="G31">
    <cfRule type="expression" dxfId="1532" priority="1522" stopIfTrue="1">
      <formula>AND(NOT($C31=""),G31="")</formula>
    </cfRule>
    <cfRule type="expression" dxfId="1531" priority="1523" stopIfTrue="1">
      <formula>AV31="0"</formula>
    </cfRule>
  </conditionalFormatting>
  <conditionalFormatting sqref="H31">
    <cfRule type="expression" dxfId="1530" priority="1520" stopIfTrue="1">
      <formula>AND(NOT($C31=""),H31="")</formula>
    </cfRule>
    <cfRule type="expression" dxfId="1529" priority="1521" stopIfTrue="1">
      <formula>BA31="0"</formula>
    </cfRule>
  </conditionalFormatting>
  <conditionalFormatting sqref="I31">
    <cfRule type="expression" dxfId="1528" priority="1518" stopIfTrue="1">
      <formula>AND(NOT($C31=""),I31="")</formula>
    </cfRule>
    <cfRule type="expression" dxfId="1527" priority="1519" stopIfTrue="1">
      <formula>BF31="0"</formula>
    </cfRule>
  </conditionalFormatting>
  <conditionalFormatting sqref="J31">
    <cfRule type="expression" dxfId="1526" priority="1516" stopIfTrue="1">
      <formula>AND(NOT($C31=""),J31="")</formula>
    </cfRule>
    <cfRule type="expression" dxfId="1525" priority="1517" stopIfTrue="1">
      <formula>BK31="0"</formula>
    </cfRule>
  </conditionalFormatting>
  <conditionalFormatting sqref="K31">
    <cfRule type="expression" dxfId="1524" priority="1514" stopIfTrue="1">
      <formula>AND(NOT($C31=""),K31="")</formula>
    </cfRule>
    <cfRule type="expression" dxfId="1523" priority="1515" stopIfTrue="1">
      <formula>BP31="0"</formula>
    </cfRule>
  </conditionalFormatting>
  <conditionalFormatting sqref="L31">
    <cfRule type="expression" dxfId="1522" priority="1512" stopIfTrue="1">
      <formula>AND(NOT($C31=""),L31="")</formula>
    </cfRule>
    <cfRule type="expression" dxfId="1521" priority="1513" stopIfTrue="1">
      <formula>BU31="0"</formula>
    </cfRule>
  </conditionalFormatting>
  <conditionalFormatting sqref="N31">
    <cfRule type="expression" dxfId="1520" priority="1510" stopIfTrue="1">
      <formula>AND(NOT($C31=""),N31="")</formula>
    </cfRule>
    <cfRule type="expression" dxfId="1519" priority="1511" stopIfTrue="1">
      <formula>CE31="0"</formula>
    </cfRule>
  </conditionalFormatting>
  <conditionalFormatting sqref="M31">
    <cfRule type="expression" dxfId="1518" priority="1509" stopIfTrue="1">
      <formula>BZ31="0"</formula>
    </cfRule>
  </conditionalFormatting>
  <conditionalFormatting sqref="D31">
    <cfRule type="expression" dxfId="1517" priority="1507" stopIfTrue="1">
      <formula>AND(NOT($C31=""),D31="")</formula>
    </cfRule>
    <cfRule type="expression" dxfId="1516" priority="1508" stopIfTrue="1">
      <formula>AG31="0"</formula>
    </cfRule>
  </conditionalFormatting>
  <conditionalFormatting sqref="E31">
    <cfRule type="expression" dxfId="1515" priority="1505" stopIfTrue="1">
      <formula>AND(NOT($C31=""),E31="")</formula>
    </cfRule>
    <cfRule type="expression" dxfId="1514" priority="1506" stopIfTrue="1">
      <formula>AL31="0"</formula>
    </cfRule>
  </conditionalFormatting>
  <conditionalFormatting sqref="F31">
    <cfRule type="expression" dxfId="1513" priority="1503" stopIfTrue="1">
      <formula>AND(NOT($C31=""),F31="")</formula>
    </cfRule>
    <cfRule type="expression" dxfId="1512" priority="1504" stopIfTrue="1">
      <formula>AQ31="0"</formula>
    </cfRule>
  </conditionalFormatting>
  <conditionalFormatting sqref="G31">
    <cfRule type="expression" dxfId="1511" priority="1501" stopIfTrue="1">
      <formula>AND(NOT($C31=""),G31="")</formula>
    </cfRule>
    <cfRule type="expression" dxfId="1510" priority="1502" stopIfTrue="1">
      <formula>AV31="0"</formula>
    </cfRule>
  </conditionalFormatting>
  <conditionalFormatting sqref="H31">
    <cfRule type="expression" dxfId="1509" priority="1499" stopIfTrue="1">
      <formula>AND(NOT($C31=""),H31="")</formula>
    </cfRule>
    <cfRule type="expression" dxfId="1508" priority="1500" stopIfTrue="1">
      <formula>BA31="0"</formula>
    </cfRule>
  </conditionalFormatting>
  <conditionalFormatting sqref="I31">
    <cfRule type="expression" dxfId="1507" priority="1497" stopIfTrue="1">
      <formula>AND(NOT($C31=""),I31="")</formula>
    </cfRule>
    <cfRule type="expression" dxfId="1506" priority="1498" stopIfTrue="1">
      <formula>BF31="0"</formula>
    </cfRule>
  </conditionalFormatting>
  <conditionalFormatting sqref="J31">
    <cfRule type="expression" dxfId="1505" priority="1495" stopIfTrue="1">
      <formula>AND(NOT($C31=""),J31="")</formula>
    </cfRule>
    <cfRule type="expression" dxfId="1504" priority="1496" stopIfTrue="1">
      <formula>BK31="0"</formula>
    </cfRule>
  </conditionalFormatting>
  <conditionalFormatting sqref="K31">
    <cfRule type="expression" dxfId="1503" priority="1493" stopIfTrue="1">
      <formula>AND(NOT($C31=""),K31="")</formula>
    </cfRule>
    <cfRule type="expression" dxfId="1502" priority="1494" stopIfTrue="1">
      <formula>BP31="0"</formula>
    </cfRule>
  </conditionalFormatting>
  <conditionalFormatting sqref="L31">
    <cfRule type="expression" dxfId="1501" priority="1491" stopIfTrue="1">
      <formula>AND(NOT($C31=""),L31="")</formula>
    </cfRule>
    <cfRule type="expression" dxfId="1500" priority="1492" stopIfTrue="1">
      <formula>BU31="0"</formula>
    </cfRule>
  </conditionalFormatting>
  <conditionalFormatting sqref="N31">
    <cfRule type="expression" dxfId="1499" priority="1489" stopIfTrue="1">
      <formula>AND(NOT($C31=""),N31="")</formula>
    </cfRule>
    <cfRule type="expression" dxfId="1498" priority="1490" stopIfTrue="1">
      <formula>CE31="0"</formula>
    </cfRule>
  </conditionalFormatting>
  <conditionalFormatting sqref="M31">
    <cfRule type="expression" dxfId="1497" priority="1488" stopIfTrue="1">
      <formula>BZ31="0"</formula>
    </cfRule>
  </conditionalFormatting>
  <conditionalFormatting sqref="D31">
    <cfRule type="expression" dxfId="1496" priority="1486" stopIfTrue="1">
      <formula>AND(NOT($C31=""),D31="")</formula>
    </cfRule>
    <cfRule type="expression" dxfId="1495" priority="1487" stopIfTrue="1">
      <formula>AG31="0"</formula>
    </cfRule>
  </conditionalFormatting>
  <conditionalFormatting sqref="E31">
    <cfRule type="expression" dxfId="1494" priority="1484" stopIfTrue="1">
      <formula>AND(NOT($C31=""),E31="")</formula>
    </cfRule>
    <cfRule type="expression" dxfId="1493" priority="1485" stopIfTrue="1">
      <formula>AL31="0"</formula>
    </cfRule>
  </conditionalFormatting>
  <conditionalFormatting sqref="F31">
    <cfRule type="expression" dxfId="1492" priority="1482" stopIfTrue="1">
      <formula>AND(NOT($C31=""),F31="")</formula>
    </cfRule>
    <cfRule type="expression" dxfId="1491" priority="1483" stopIfTrue="1">
      <formula>AQ31="0"</formula>
    </cfRule>
  </conditionalFormatting>
  <conditionalFormatting sqref="G31">
    <cfRule type="expression" dxfId="1490" priority="1480" stopIfTrue="1">
      <formula>AND(NOT($C31=""),G31="")</formula>
    </cfRule>
    <cfRule type="expression" dxfId="1489" priority="1481" stopIfTrue="1">
      <formula>AV31="0"</formula>
    </cfRule>
  </conditionalFormatting>
  <conditionalFormatting sqref="H31">
    <cfRule type="expression" dxfId="1488" priority="1478" stopIfTrue="1">
      <formula>AND(NOT($C31=""),H31="")</formula>
    </cfRule>
    <cfRule type="expression" dxfId="1487" priority="1479" stopIfTrue="1">
      <formula>BA31="0"</formula>
    </cfRule>
  </conditionalFormatting>
  <conditionalFormatting sqref="I31">
    <cfRule type="expression" dxfId="1486" priority="1476" stopIfTrue="1">
      <formula>AND(NOT($C31=""),I31="")</formula>
    </cfRule>
    <cfRule type="expression" dxfId="1485" priority="1477" stopIfTrue="1">
      <formula>BF31="0"</formula>
    </cfRule>
  </conditionalFormatting>
  <conditionalFormatting sqref="J31">
    <cfRule type="expression" dxfId="1484" priority="1474" stopIfTrue="1">
      <formula>AND(NOT($C31=""),J31="")</formula>
    </cfRule>
    <cfRule type="expression" dxfId="1483" priority="1475" stopIfTrue="1">
      <formula>BK31="0"</formula>
    </cfRule>
  </conditionalFormatting>
  <conditionalFormatting sqref="K31">
    <cfRule type="expression" dxfId="1482" priority="1472" stopIfTrue="1">
      <formula>AND(NOT($C31=""),K31="")</formula>
    </cfRule>
    <cfRule type="expression" dxfId="1481" priority="1473" stopIfTrue="1">
      <formula>BP31="0"</formula>
    </cfRule>
  </conditionalFormatting>
  <conditionalFormatting sqref="L31">
    <cfRule type="expression" dxfId="1480" priority="1470" stopIfTrue="1">
      <formula>AND(NOT($C31=""),L31="")</formula>
    </cfRule>
    <cfRule type="expression" dxfId="1479" priority="1471" stopIfTrue="1">
      <formula>BU31="0"</formula>
    </cfRule>
  </conditionalFormatting>
  <conditionalFormatting sqref="N31">
    <cfRule type="expression" dxfId="1478" priority="1468" stopIfTrue="1">
      <formula>AND(NOT($C31=""),N31="")</formula>
    </cfRule>
    <cfRule type="expression" dxfId="1477" priority="1469" stopIfTrue="1">
      <formula>CE31="0"</formula>
    </cfRule>
  </conditionalFormatting>
  <conditionalFormatting sqref="M31">
    <cfRule type="expression" dxfId="1476" priority="1467" stopIfTrue="1">
      <formula>BZ31="0"</formula>
    </cfRule>
  </conditionalFormatting>
  <conditionalFormatting sqref="D31">
    <cfRule type="expression" dxfId="1475" priority="1465" stopIfTrue="1">
      <formula>AND(NOT($C31=""),D31="")</formula>
    </cfRule>
    <cfRule type="expression" dxfId="1474" priority="1466" stopIfTrue="1">
      <formula>AG31="0"</formula>
    </cfRule>
  </conditionalFormatting>
  <conditionalFormatting sqref="E31">
    <cfRule type="expression" dxfId="1473" priority="1463" stopIfTrue="1">
      <formula>AND(NOT($C31=""),E31="")</formula>
    </cfRule>
    <cfRule type="expression" dxfId="1472" priority="1464" stopIfTrue="1">
      <formula>AL31="0"</formula>
    </cfRule>
  </conditionalFormatting>
  <conditionalFormatting sqref="F31">
    <cfRule type="expression" dxfId="1471" priority="1461" stopIfTrue="1">
      <formula>AND(NOT($C31=""),F31="")</formula>
    </cfRule>
    <cfRule type="expression" dxfId="1470" priority="1462" stopIfTrue="1">
      <formula>AQ31="0"</formula>
    </cfRule>
  </conditionalFormatting>
  <conditionalFormatting sqref="G31">
    <cfRule type="expression" dxfId="1469" priority="1459" stopIfTrue="1">
      <formula>AND(NOT($C31=""),G31="")</formula>
    </cfRule>
    <cfRule type="expression" dxfId="1468" priority="1460" stopIfTrue="1">
      <formula>AV31="0"</formula>
    </cfRule>
  </conditionalFormatting>
  <conditionalFormatting sqref="H31">
    <cfRule type="expression" dxfId="1467" priority="1457" stopIfTrue="1">
      <formula>AND(NOT($C31=""),H31="")</formula>
    </cfRule>
    <cfRule type="expression" dxfId="1466" priority="1458" stopIfTrue="1">
      <formula>BA31="0"</formula>
    </cfRule>
  </conditionalFormatting>
  <conditionalFormatting sqref="I31">
    <cfRule type="expression" dxfId="1465" priority="1455" stopIfTrue="1">
      <formula>AND(NOT($C31=""),I31="")</formula>
    </cfRule>
    <cfRule type="expression" dxfId="1464" priority="1456" stopIfTrue="1">
      <formula>BF31="0"</formula>
    </cfRule>
  </conditionalFormatting>
  <conditionalFormatting sqref="J31">
    <cfRule type="expression" dxfId="1463" priority="1453" stopIfTrue="1">
      <formula>AND(NOT($C31=""),J31="")</formula>
    </cfRule>
    <cfRule type="expression" dxfId="1462" priority="1454" stopIfTrue="1">
      <formula>BK31="0"</formula>
    </cfRule>
  </conditionalFormatting>
  <conditionalFormatting sqref="K31">
    <cfRule type="expression" dxfId="1461" priority="1451" stopIfTrue="1">
      <formula>AND(NOT($C31=""),K31="")</formula>
    </cfRule>
    <cfRule type="expression" dxfId="1460" priority="1452" stopIfTrue="1">
      <formula>BP31="0"</formula>
    </cfRule>
  </conditionalFormatting>
  <conditionalFormatting sqref="L31">
    <cfRule type="expression" dxfId="1459" priority="1449" stopIfTrue="1">
      <formula>AND(NOT($C31=""),L31="")</formula>
    </cfRule>
    <cfRule type="expression" dxfId="1458" priority="1450" stopIfTrue="1">
      <formula>BU31="0"</formula>
    </cfRule>
  </conditionalFormatting>
  <conditionalFormatting sqref="N31">
    <cfRule type="expression" dxfId="1457" priority="1447" stopIfTrue="1">
      <formula>AND(NOT($C31=""),N31="")</formula>
    </cfRule>
    <cfRule type="expression" dxfId="1456" priority="1448" stopIfTrue="1">
      <formula>CE31="0"</formula>
    </cfRule>
  </conditionalFormatting>
  <conditionalFormatting sqref="M31">
    <cfRule type="expression" dxfId="1455" priority="1446" stopIfTrue="1">
      <formula>BZ31="0"</formula>
    </cfRule>
  </conditionalFormatting>
  <conditionalFormatting sqref="D31">
    <cfRule type="expression" dxfId="1454" priority="1444" stopIfTrue="1">
      <formula>AND(NOT($C31=""),D31="")</formula>
    </cfRule>
    <cfRule type="expression" dxfId="1453" priority="1445" stopIfTrue="1">
      <formula>AG31="0"</formula>
    </cfRule>
  </conditionalFormatting>
  <conditionalFormatting sqref="E31">
    <cfRule type="expression" dxfId="1452" priority="1442" stopIfTrue="1">
      <formula>AND(NOT($C31=""),E31="")</formula>
    </cfRule>
    <cfRule type="expression" dxfId="1451" priority="1443" stopIfTrue="1">
      <formula>AL31="0"</formula>
    </cfRule>
  </conditionalFormatting>
  <conditionalFormatting sqref="F31">
    <cfRule type="expression" dxfId="1450" priority="1440" stopIfTrue="1">
      <formula>AND(NOT($C31=""),F31="")</formula>
    </cfRule>
    <cfRule type="expression" dxfId="1449" priority="1441" stopIfTrue="1">
      <formula>AQ31="0"</formula>
    </cfRule>
  </conditionalFormatting>
  <conditionalFormatting sqref="G31">
    <cfRule type="expression" dxfId="1448" priority="1438" stopIfTrue="1">
      <formula>AND(NOT($C31=""),G31="")</formula>
    </cfRule>
    <cfRule type="expression" dxfId="1447" priority="1439" stopIfTrue="1">
      <formula>AV31="0"</formula>
    </cfRule>
  </conditionalFormatting>
  <conditionalFormatting sqref="H31">
    <cfRule type="expression" dxfId="1446" priority="1436" stopIfTrue="1">
      <formula>AND(NOT($C31=""),H31="")</formula>
    </cfRule>
    <cfRule type="expression" dxfId="1445" priority="1437" stopIfTrue="1">
      <formula>BA31="0"</formula>
    </cfRule>
  </conditionalFormatting>
  <conditionalFormatting sqref="I31">
    <cfRule type="expression" dxfId="1444" priority="1434" stopIfTrue="1">
      <formula>AND(NOT($C31=""),I31="")</formula>
    </cfRule>
    <cfRule type="expression" dxfId="1443" priority="1435" stopIfTrue="1">
      <formula>BF31="0"</formula>
    </cfRule>
  </conditionalFormatting>
  <conditionalFormatting sqref="J31">
    <cfRule type="expression" dxfId="1442" priority="1432" stopIfTrue="1">
      <formula>AND(NOT($C31=""),J31="")</formula>
    </cfRule>
    <cfRule type="expression" dxfId="1441" priority="1433" stopIfTrue="1">
      <formula>BK31="0"</formula>
    </cfRule>
  </conditionalFormatting>
  <conditionalFormatting sqref="K31">
    <cfRule type="expression" dxfId="1440" priority="1430" stopIfTrue="1">
      <formula>AND(NOT($C31=""),K31="")</formula>
    </cfRule>
    <cfRule type="expression" dxfId="1439" priority="1431" stopIfTrue="1">
      <formula>BP31="0"</formula>
    </cfRule>
  </conditionalFormatting>
  <conditionalFormatting sqref="L31">
    <cfRule type="expression" dxfId="1438" priority="1428" stopIfTrue="1">
      <formula>AND(NOT($C31=""),L31="")</formula>
    </cfRule>
    <cfRule type="expression" dxfId="1437" priority="1429" stopIfTrue="1">
      <formula>BU31="0"</formula>
    </cfRule>
  </conditionalFormatting>
  <conditionalFormatting sqref="N31">
    <cfRule type="expression" dxfId="1436" priority="1426" stopIfTrue="1">
      <formula>AND(NOT($C31=""),N31="")</formula>
    </cfRule>
    <cfRule type="expression" dxfId="1435" priority="1427" stopIfTrue="1">
      <formula>CE31="0"</formula>
    </cfRule>
  </conditionalFormatting>
  <conditionalFormatting sqref="M31">
    <cfRule type="expression" dxfId="1434" priority="1425" stopIfTrue="1">
      <formula>BZ31="0"</formula>
    </cfRule>
  </conditionalFormatting>
  <conditionalFormatting sqref="D31">
    <cfRule type="expression" dxfId="1433" priority="1423" stopIfTrue="1">
      <formula>AND(NOT($C31=""),D31="")</formula>
    </cfRule>
    <cfRule type="expression" dxfId="1432" priority="1424" stopIfTrue="1">
      <formula>AG31="0"</formula>
    </cfRule>
  </conditionalFormatting>
  <conditionalFormatting sqref="E31">
    <cfRule type="expression" dxfId="1431" priority="1421" stopIfTrue="1">
      <formula>AND(NOT($C31=""),E31="")</formula>
    </cfRule>
    <cfRule type="expression" dxfId="1430" priority="1422" stopIfTrue="1">
      <formula>AL31="0"</formula>
    </cfRule>
  </conditionalFormatting>
  <conditionalFormatting sqref="F31">
    <cfRule type="expression" dxfId="1429" priority="1419" stopIfTrue="1">
      <formula>AND(NOT($C31=""),F31="")</formula>
    </cfRule>
    <cfRule type="expression" dxfId="1428" priority="1420" stopIfTrue="1">
      <formula>AQ31="0"</formula>
    </cfRule>
  </conditionalFormatting>
  <conditionalFormatting sqref="G31">
    <cfRule type="expression" dxfId="1427" priority="1417" stopIfTrue="1">
      <formula>AND(NOT($C31=""),G31="")</formula>
    </cfRule>
    <cfRule type="expression" dxfId="1426" priority="1418" stopIfTrue="1">
      <formula>AV31="0"</formula>
    </cfRule>
  </conditionalFormatting>
  <conditionalFormatting sqref="H31">
    <cfRule type="expression" dxfId="1425" priority="1415" stopIfTrue="1">
      <formula>AND(NOT($C31=""),H31="")</formula>
    </cfRule>
    <cfRule type="expression" dxfId="1424" priority="1416" stopIfTrue="1">
      <formula>BA31="0"</formula>
    </cfRule>
  </conditionalFormatting>
  <conditionalFormatting sqref="I31">
    <cfRule type="expression" dxfId="1423" priority="1413" stopIfTrue="1">
      <formula>AND(NOT($C31=""),I31="")</formula>
    </cfRule>
    <cfRule type="expression" dxfId="1422" priority="1414" stopIfTrue="1">
      <formula>BF31="0"</formula>
    </cfRule>
  </conditionalFormatting>
  <conditionalFormatting sqref="J31">
    <cfRule type="expression" dxfId="1421" priority="1411" stopIfTrue="1">
      <formula>AND(NOT($C31=""),J31="")</formula>
    </cfRule>
    <cfRule type="expression" dxfId="1420" priority="1412" stopIfTrue="1">
      <formula>BK31="0"</formula>
    </cfRule>
  </conditionalFormatting>
  <conditionalFormatting sqref="K31">
    <cfRule type="expression" dxfId="1419" priority="1409" stopIfTrue="1">
      <formula>AND(NOT($C31=""),K31="")</formula>
    </cfRule>
    <cfRule type="expression" dxfId="1418" priority="1410" stopIfTrue="1">
      <formula>BP31="0"</formula>
    </cfRule>
  </conditionalFormatting>
  <conditionalFormatting sqref="L31">
    <cfRule type="expression" dxfId="1417" priority="1407" stopIfTrue="1">
      <formula>AND(NOT($C31=""),L31="")</formula>
    </cfRule>
    <cfRule type="expression" dxfId="1416" priority="1408" stopIfTrue="1">
      <formula>BU31="0"</formula>
    </cfRule>
  </conditionalFormatting>
  <conditionalFormatting sqref="N31">
    <cfRule type="expression" dxfId="1415" priority="1405" stopIfTrue="1">
      <formula>AND(NOT($C31=""),N31="")</formula>
    </cfRule>
    <cfRule type="expression" dxfId="1414" priority="1406" stopIfTrue="1">
      <formula>CE31="0"</formula>
    </cfRule>
  </conditionalFormatting>
  <conditionalFormatting sqref="M31">
    <cfRule type="expression" dxfId="1413" priority="1404" stopIfTrue="1">
      <formula>BZ31="0"</formula>
    </cfRule>
  </conditionalFormatting>
  <conditionalFormatting sqref="D31">
    <cfRule type="expression" dxfId="1412" priority="1402" stopIfTrue="1">
      <formula>AND(NOT($C31=""),D31="")</formula>
    </cfRule>
    <cfRule type="expression" dxfId="1411" priority="1403" stopIfTrue="1">
      <formula>AG31="0"</formula>
    </cfRule>
  </conditionalFormatting>
  <conditionalFormatting sqref="E31">
    <cfRule type="expression" dxfId="1410" priority="1400" stopIfTrue="1">
      <formula>AND(NOT($C31=""),E31="")</formula>
    </cfRule>
    <cfRule type="expression" dxfId="1409" priority="1401" stopIfTrue="1">
      <formula>AL31="0"</formula>
    </cfRule>
  </conditionalFormatting>
  <conditionalFormatting sqref="F31">
    <cfRule type="expression" dxfId="1408" priority="1398" stopIfTrue="1">
      <formula>AND(NOT($C31=""),F31="")</formula>
    </cfRule>
    <cfRule type="expression" dxfId="1407" priority="1399" stopIfTrue="1">
      <formula>AQ31="0"</formula>
    </cfRule>
  </conditionalFormatting>
  <conditionalFormatting sqref="G31">
    <cfRule type="expression" dxfId="1406" priority="1396" stopIfTrue="1">
      <formula>AND(NOT($C31=""),G31="")</formula>
    </cfRule>
    <cfRule type="expression" dxfId="1405" priority="1397" stopIfTrue="1">
      <formula>AV31="0"</formula>
    </cfRule>
  </conditionalFormatting>
  <conditionalFormatting sqref="H31">
    <cfRule type="expression" dxfId="1404" priority="1394" stopIfTrue="1">
      <formula>AND(NOT($C31=""),H31="")</formula>
    </cfRule>
    <cfRule type="expression" dxfId="1403" priority="1395" stopIfTrue="1">
      <formula>BA31="0"</formula>
    </cfRule>
  </conditionalFormatting>
  <conditionalFormatting sqref="I31">
    <cfRule type="expression" dxfId="1402" priority="1392" stopIfTrue="1">
      <formula>AND(NOT($C31=""),I31="")</formula>
    </cfRule>
    <cfRule type="expression" dxfId="1401" priority="1393" stopIfTrue="1">
      <formula>BF31="0"</formula>
    </cfRule>
  </conditionalFormatting>
  <conditionalFormatting sqref="J31">
    <cfRule type="expression" dxfId="1400" priority="1390" stopIfTrue="1">
      <formula>AND(NOT($C31=""),J31="")</formula>
    </cfRule>
    <cfRule type="expression" dxfId="1399" priority="1391" stopIfTrue="1">
      <formula>BK31="0"</formula>
    </cfRule>
  </conditionalFormatting>
  <conditionalFormatting sqref="K31">
    <cfRule type="expression" dxfId="1398" priority="1388" stopIfTrue="1">
      <formula>AND(NOT($C31=""),K31="")</formula>
    </cfRule>
    <cfRule type="expression" dxfId="1397" priority="1389" stopIfTrue="1">
      <formula>BP31="0"</formula>
    </cfRule>
  </conditionalFormatting>
  <conditionalFormatting sqref="L31">
    <cfRule type="expression" dxfId="1396" priority="1386" stopIfTrue="1">
      <formula>AND(NOT($C31=""),L31="")</formula>
    </cfRule>
    <cfRule type="expression" dxfId="1395" priority="1387" stopIfTrue="1">
      <formula>BU31="0"</formula>
    </cfRule>
  </conditionalFormatting>
  <conditionalFormatting sqref="N31">
    <cfRule type="expression" dxfId="1394" priority="1384" stopIfTrue="1">
      <formula>AND(NOT($C31=""),N31="")</formula>
    </cfRule>
    <cfRule type="expression" dxfId="1393" priority="1385" stopIfTrue="1">
      <formula>CE31="0"</formula>
    </cfRule>
  </conditionalFormatting>
  <conditionalFormatting sqref="M33">
    <cfRule type="expression" dxfId="1392" priority="1383" stopIfTrue="1">
      <formula>BZ33="0"</formula>
    </cfRule>
  </conditionalFormatting>
  <conditionalFormatting sqref="D33">
    <cfRule type="expression" dxfId="1391" priority="1381" stopIfTrue="1">
      <formula>AND(NOT($C33=""),D33="")</formula>
    </cfRule>
    <cfRule type="expression" dxfId="1390" priority="1382" stopIfTrue="1">
      <formula>AG33="0"</formula>
    </cfRule>
  </conditionalFormatting>
  <conditionalFormatting sqref="E33">
    <cfRule type="expression" dxfId="1389" priority="1379" stopIfTrue="1">
      <formula>AND(NOT($C33=""),E33="")</formula>
    </cfRule>
    <cfRule type="expression" dxfId="1388" priority="1380" stopIfTrue="1">
      <formula>AL33="0"</formula>
    </cfRule>
  </conditionalFormatting>
  <conditionalFormatting sqref="F33">
    <cfRule type="expression" dxfId="1387" priority="1377" stopIfTrue="1">
      <formula>AND(NOT($C33=""),F33="")</formula>
    </cfRule>
    <cfRule type="expression" dxfId="1386" priority="1378" stopIfTrue="1">
      <formula>AQ33="0"</formula>
    </cfRule>
  </conditionalFormatting>
  <conditionalFormatting sqref="G33">
    <cfRule type="expression" dxfId="1385" priority="1375" stopIfTrue="1">
      <formula>AND(NOT($C33=""),G33="")</formula>
    </cfRule>
    <cfRule type="expression" dxfId="1384" priority="1376" stopIfTrue="1">
      <formula>AV33="0"</formula>
    </cfRule>
  </conditionalFormatting>
  <conditionalFormatting sqref="H33">
    <cfRule type="expression" dxfId="1383" priority="1373" stopIfTrue="1">
      <formula>AND(NOT($C33=""),H33="")</formula>
    </cfRule>
    <cfRule type="expression" dxfId="1382" priority="1374" stopIfTrue="1">
      <formula>BA33="0"</formula>
    </cfRule>
  </conditionalFormatting>
  <conditionalFormatting sqref="I33">
    <cfRule type="expression" dxfId="1381" priority="1371" stopIfTrue="1">
      <formula>AND(NOT($C33=""),I33="")</formula>
    </cfRule>
    <cfRule type="expression" dxfId="1380" priority="1372" stopIfTrue="1">
      <formula>BF33="0"</formula>
    </cfRule>
  </conditionalFormatting>
  <conditionalFormatting sqref="J33">
    <cfRule type="expression" dxfId="1379" priority="1369" stopIfTrue="1">
      <formula>AND(NOT($C33=""),J33="")</formula>
    </cfRule>
    <cfRule type="expression" dxfId="1378" priority="1370" stopIfTrue="1">
      <formula>BK33="0"</formula>
    </cfRule>
  </conditionalFormatting>
  <conditionalFormatting sqref="K33">
    <cfRule type="expression" dxfId="1377" priority="1367" stopIfTrue="1">
      <formula>AND(NOT($C33=""),K33="")</formula>
    </cfRule>
    <cfRule type="expression" dxfId="1376" priority="1368" stopIfTrue="1">
      <formula>BP33="0"</formula>
    </cfRule>
  </conditionalFormatting>
  <conditionalFormatting sqref="L33">
    <cfRule type="expression" dxfId="1375" priority="1365" stopIfTrue="1">
      <formula>AND(NOT($C33=""),L33="")</formula>
    </cfRule>
    <cfRule type="expression" dxfId="1374" priority="1366" stopIfTrue="1">
      <formula>BU33="0"</formula>
    </cfRule>
  </conditionalFormatting>
  <conditionalFormatting sqref="N33">
    <cfRule type="expression" dxfId="1373" priority="1363" stopIfTrue="1">
      <formula>AND(NOT($C33=""),N33="")</formula>
    </cfRule>
    <cfRule type="expression" dxfId="1372" priority="1364" stopIfTrue="1">
      <formula>CE33="0"</formula>
    </cfRule>
  </conditionalFormatting>
  <conditionalFormatting sqref="M33">
    <cfRule type="expression" dxfId="1371" priority="1362" stopIfTrue="1">
      <formula>BZ33="0"</formula>
    </cfRule>
  </conditionalFormatting>
  <conditionalFormatting sqref="D33">
    <cfRule type="expression" dxfId="1370" priority="1360" stopIfTrue="1">
      <formula>AND(NOT($C33=""),D33="")</formula>
    </cfRule>
    <cfRule type="expression" dxfId="1369" priority="1361" stopIfTrue="1">
      <formula>AG33="0"</formula>
    </cfRule>
  </conditionalFormatting>
  <conditionalFormatting sqref="E33">
    <cfRule type="expression" dxfId="1368" priority="1358" stopIfTrue="1">
      <formula>AND(NOT($C33=""),E33="")</formula>
    </cfRule>
    <cfRule type="expression" dxfId="1367" priority="1359" stopIfTrue="1">
      <formula>AL33="0"</formula>
    </cfRule>
  </conditionalFormatting>
  <conditionalFormatting sqref="F33">
    <cfRule type="expression" dxfId="1366" priority="1356" stopIfTrue="1">
      <formula>AND(NOT($C33=""),F33="")</formula>
    </cfRule>
    <cfRule type="expression" dxfId="1365" priority="1357" stopIfTrue="1">
      <formula>AQ33="0"</formula>
    </cfRule>
  </conditionalFormatting>
  <conditionalFormatting sqref="G33">
    <cfRule type="expression" dxfId="1364" priority="1354" stopIfTrue="1">
      <formula>AND(NOT($C33=""),G33="")</formula>
    </cfRule>
    <cfRule type="expression" dxfId="1363" priority="1355" stopIfTrue="1">
      <formula>AV33="0"</formula>
    </cfRule>
  </conditionalFormatting>
  <conditionalFormatting sqref="H33">
    <cfRule type="expression" dxfId="1362" priority="1352" stopIfTrue="1">
      <formula>AND(NOT($C33=""),H33="")</formula>
    </cfRule>
    <cfRule type="expression" dxfId="1361" priority="1353" stopIfTrue="1">
      <formula>BA33="0"</formula>
    </cfRule>
  </conditionalFormatting>
  <conditionalFormatting sqref="I33">
    <cfRule type="expression" dxfId="1360" priority="1350" stopIfTrue="1">
      <formula>AND(NOT($C33=""),I33="")</formula>
    </cfRule>
    <cfRule type="expression" dxfId="1359" priority="1351" stopIfTrue="1">
      <formula>BF33="0"</formula>
    </cfRule>
  </conditionalFormatting>
  <conditionalFormatting sqref="J33">
    <cfRule type="expression" dxfId="1358" priority="1348" stopIfTrue="1">
      <formula>AND(NOT($C33=""),J33="")</formula>
    </cfRule>
    <cfRule type="expression" dxfId="1357" priority="1349" stopIfTrue="1">
      <formula>BK33="0"</formula>
    </cfRule>
  </conditionalFormatting>
  <conditionalFormatting sqref="K33">
    <cfRule type="expression" dxfId="1356" priority="1346" stopIfTrue="1">
      <formula>AND(NOT($C33=""),K33="")</formula>
    </cfRule>
    <cfRule type="expression" dxfId="1355" priority="1347" stopIfTrue="1">
      <formula>BP33="0"</formula>
    </cfRule>
  </conditionalFormatting>
  <conditionalFormatting sqref="L33">
    <cfRule type="expression" dxfId="1354" priority="1344" stopIfTrue="1">
      <formula>AND(NOT($C33=""),L33="")</formula>
    </cfRule>
    <cfRule type="expression" dxfId="1353" priority="1345" stopIfTrue="1">
      <formula>BU33="0"</formula>
    </cfRule>
  </conditionalFormatting>
  <conditionalFormatting sqref="N33">
    <cfRule type="expression" dxfId="1352" priority="1342" stopIfTrue="1">
      <formula>AND(NOT($C33=""),N33="")</formula>
    </cfRule>
    <cfRule type="expression" dxfId="1351" priority="1343" stopIfTrue="1">
      <formula>CE33="0"</formula>
    </cfRule>
  </conditionalFormatting>
  <conditionalFormatting sqref="M33">
    <cfRule type="expression" dxfId="1350" priority="1341" stopIfTrue="1">
      <formula>BZ33="0"</formula>
    </cfRule>
  </conditionalFormatting>
  <conditionalFormatting sqref="D33">
    <cfRule type="expression" dxfId="1349" priority="1339" stopIfTrue="1">
      <formula>AND(NOT($C33=""),D33="")</formula>
    </cfRule>
    <cfRule type="expression" dxfId="1348" priority="1340" stopIfTrue="1">
      <formula>AG33="0"</formula>
    </cfRule>
  </conditionalFormatting>
  <conditionalFormatting sqref="E33">
    <cfRule type="expression" dxfId="1347" priority="1337" stopIfTrue="1">
      <formula>AND(NOT($C33=""),E33="")</formula>
    </cfRule>
    <cfRule type="expression" dxfId="1346" priority="1338" stopIfTrue="1">
      <formula>AL33="0"</formula>
    </cfRule>
  </conditionalFormatting>
  <conditionalFormatting sqref="F33">
    <cfRule type="expression" dxfId="1345" priority="1335" stopIfTrue="1">
      <formula>AND(NOT($C33=""),F33="")</formula>
    </cfRule>
    <cfRule type="expression" dxfId="1344" priority="1336" stopIfTrue="1">
      <formula>AQ33="0"</formula>
    </cfRule>
  </conditionalFormatting>
  <conditionalFormatting sqref="G33">
    <cfRule type="expression" dxfId="1343" priority="1333" stopIfTrue="1">
      <formula>AND(NOT($C33=""),G33="")</formula>
    </cfRule>
    <cfRule type="expression" dxfId="1342" priority="1334" stopIfTrue="1">
      <formula>AV33="0"</formula>
    </cfRule>
  </conditionalFormatting>
  <conditionalFormatting sqref="H33">
    <cfRule type="expression" dxfId="1341" priority="1331" stopIfTrue="1">
      <formula>AND(NOT($C33=""),H33="")</formula>
    </cfRule>
    <cfRule type="expression" dxfId="1340" priority="1332" stopIfTrue="1">
      <formula>BA33="0"</formula>
    </cfRule>
  </conditionalFormatting>
  <conditionalFormatting sqref="I33">
    <cfRule type="expression" dxfId="1339" priority="1329" stopIfTrue="1">
      <formula>AND(NOT($C33=""),I33="")</formula>
    </cfRule>
    <cfRule type="expression" dxfId="1338" priority="1330" stopIfTrue="1">
      <formula>BF33="0"</formula>
    </cfRule>
  </conditionalFormatting>
  <conditionalFormatting sqref="J33">
    <cfRule type="expression" dxfId="1337" priority="1327" stopIfTrue="1">
      <formula>AND(NOT($C33=""),J33="")</formula>
    </cfRule>
    <cfRule type="expression" dxfId="1336" priority="1328" stopIfTrue="1">
      <formula>BK33="0"</formula>
    </cfRule>
  </conditionalFormatting>
  <conditionalFormatting sqref="K33">
    <cfRule type="expression" dxfId="1335" priority="1325" stopIfTrue="1">
      <formula>AND(NOT($C33=""),K33="")</formula>
    </cfRule>
    <cfRule type="expression" dxfId="1334" priority="1326" stopIfTrue="1">
      <formula>BP33="0"</formula>
    </cfRule>
  </conditionalFormatting>
  <conditionalFormatting sqref="L33">
    <cfRule type="expression" dxfId="1333" priority="1323" stopIfTrue="1">
      <formula>AND(NOT($C33=""),L33="")</formula>
    </cfRule>
    <cfRule type="expression" dxfId="1332" priority="1324" stopIfTrue="1">
      <formula>BU33="0"</formula>
    </cfRule>
  </conditionalFormatting>
  <conditionalFormatting sqref="N33">
    <cfRule type="expression" dxfId="1331" priority="1321" stopIfTrue="1">
      <formula>AND(NOT($C33=""),N33="")</formula>
    </cfRule>
    <cfRule type="expression" dxfId="1330" priority="1322" stopIfTrue="1">
      <formula>CE33="0"</formula>
    </cfRule>
  </conditionalFormatting>
  <conditionalFormatting sqref="M33">
    <cfRule type="expression" dxfId="1329" priority="1320" stopIfTrue="1">
      <formula>BZ33="0"</formula>
    </cfRule>
  </conditionalFormatting>
  <conditionalFormatting sqref="D33">
    <cfRule type="expression" dxfId="1328" priority="1318" stopIfTrue="1">
      <formula>AND(NOT($C33=""),D33="")</formula>
    </cfRule>
    <cfRule type="expression" dxfId="1327" priority="1319" stopIfTrue="1">
      <formula>AG33="0"</formula>
    </cfRule>
  </conditionalFormatting>
  <conditionalFormatting sqref="E33">
    <cfRule type="expression" dxfId="1326" priority="1316" stopIfTrue="1">
      <formula>AND(NOT($C33=""),E33="")</formula>
    </cfRule>
    <cfRule type="expression" dxfId="1325" priority="1317" stopIfTrue="1">
      <formula>AL33="0"</formula>
    </cfRule>
  </conditionalFormatting>
  <conditionalFormatting sqref="F33">
    <cfRule type="expression" dxfId="1324" priority="1314" stopIfTrue="1">
      <formula>AND(NOT($C33=""),F33="")</formula>
    </cfRule>
    <cfRule type="expression" dxfId="1323" priority="1315" stopIfTrue="1">
      <formula>AQ33="0"</formula>
    </cfRule>
  </conditionalFormatting>
  <conditionalFormatting sqref="G33">
    <cfRule type="expression" dxfId="1322" priority="1312" stopIfTrue="1">
      <formula>AND(NOT($C33=""),G33="")</formula>
    </cfRule>
    <cfRule type="expression" dxfId="1321" priority="1313" stopIfTrue="1">
      <formula>AV33="0"</formula>
    </cfRule>
  </conditionalFormatting>
  <conditionalFormatting sqref="H33">
    <cfRule type="expression" dxfId="1320" priority="1310" stopIfTrue="1">
      <formula>AND(NOT($C33=""),H33="")</formula>
    </cfRule>
    <cfRule type="expression" dxfId="1319" priority="1311" stopIfTrue="1">
      <formula>BA33="0"</formula>
    </cfRule>
  </conditionalFormatting>
  <conditionalFormatting sqref="I33">
    <cfRule type="expression" dxfId="1318" priority="1308" stopIfTrue="1">
      <formula>AND(NOT($C33=""),I33="")</formula>
    </cfRule>
    <cfRule type="expression" dxfId="1317" priority="1309" stopIfTrue="1">
      <formula>BF33="0"</formula>
    </cfRule>
  </conditionalFormatting>
  <conditionalFormatting sqref="J33">
    <cfRule type="expression" dxfId="1316" priority="1306" stopIfTrue="1">
      <formula>AND(NOT($C33=""),J33="")</formula>
    </cfRule>
    <cfRule type="expression" dxfId="1315" priority="1307" stopIfTrue="1">
      <formula>BK33="0"</formula>
    </cfRule>
  </conditionalFormatting>
  <conditionalFormatting sqref="K33">
    <cfRule type="expression" dxfId="1314" priority="1304" stopIfTrue="1">
      <formula>AND(NOT($C33=""),K33="")</formula>
    </cfRule>
    <cfRule type="expression" dxfId="1313" priority="1305" stopIfTrue="1">
      <formula>BP33="0"</formula>
    </cfRule>
  </conditionalFormatting>
  <conditionalFormatting sqref="L33">
    <cfRule type="expression" dxfId="1312" priority="1302" stopIfTrue="1">
      <formula>AND(NOT($C33=""),L33="")</formula>
    </cfRule>
    <cfRule type="expression" dxfId="1311" priority="1303" stopIfTrue="1">
      <formula>BU33="0"</formula>
    </cfRule>
  </conditionalFormatting>
  <conditionalFormatting sqref="N33">
    <cfRule type="expression" dxfId="1310" priority="1300" stopIfTrue="1">
      <formula>AND(NOT($C33=""),N33="")</formula>
    </cfRule>
    <cfRule type="expression" dxfId="1309" priority="1301" stopIfTrue="1">
      <formula>CE33="0"</formula>
    </cfRule>
  </conditionalFormatting>
  <conditionalFormatting sqref="M33">
    <cfRule type="expression" dxfId="1308" priority="1299" stopIfTrue="1">
      <formula>BZ33="0"</formula>
    </cfRule>
  </conditionalFormatting>
  <conditionalFormatting sqref="D33">
    <cfRule type="expression" dxfId="1307" priority="1297" stopIfTrue="1">
      <formula>AND(NOT($C33=""),D33="")</formula>
    </cfRule>
    <cfRule type="expression" dxfId="1306" priority="1298" stopIfTrue="1">
      <formula>AG33="0"</formula>
    </cfRule>
  </conditionalFormatting>
  <conditionalFormatting sqref="E33">
    <cfRule type="expression" dxfId="1305" priority="1295" stopIfTrue="1">
      <formula>AND(NOT($C33=""),E33="")</formula>
    </cfRule>
    <cfRule type="expression" dxfId="1304" priority="1296" stopIfTrue="1">
      <formula>AL33="0"</formula>
    </cfRule>
  </conditionalFormatting>
  <conditionalFormatting sqref="F33">
    <cfRule type="expression" dxfId="1303" priority="1293" stopIfTrue="1">
      <formula>AND(NOT($C33=""),F33="")</formula>
    </cfRule>
    <cfRule type="expression" dxfId="1302" priority="1294" stopIfTrue="1">
      <formula>AQ33="0"</formula>
    </cfRule>
  </conditionalFormatting>
  <conditionalFormatting sqref="G33">
    <cfRule type="expression" dxfId="1301" priority="1291" stopIfTrue="1">
      <formula>AND(NOT($C33=""),G33="")</formula>
    </cfRule>
    <cfRule type="expression" dxfId="1300" priority="1292" stopIfTrue="1">
      <formula>AV33="0"</formula>
    </cfRule>
  </conditionalFormatting>
  <conditionalFormatting sqref="H33">
    <cfRule type="expression" dxfId="1299" priority="1289" stopIfTrue="1">
      <formula>AND(NOT($C33=""),H33="")</formula>
    </cfRule>
    <cfRule type="expression" dxfId="1298" priority="1290" stopIfTrue="1">
      <formula>BA33="0"</formula>
    </cfRule>
  </conditionalFormatting>
  <conditionalFormatting sqref="I33">
    <cfRule type="expression" dxfId="1297" priority="1287" stopIfTrue="1">
      <formula>AND(NOT($C33=""),I33="")</formula>
    </cfRule>
    <cfRule type="expression" dxfId="1296" priority="1288" stopIfTrue="1">
      <formula>BF33="0"</formula>
    </cfRule>
  </conditionalFormatting>
  <conditionalFormatting sqref="J33">
    <cfRule type="expression" dxfId="1295" priority="1285" stopIfTrue="1">
      <formula>AND(NOT($C33=""),J33="")</formula>
    </cfRule>
    <cfRule type="expression" dxfId="1294" priority="1286" stopIfTrue="1">
      <formula>BK33="0"</formula>
    </cfRule>
  </conditionalFormatting>
  <conditionalFormatting sqref="K33">
    <cfRule type="expression" dxfId="1293" priority="1283" stopIfTrue="1">
      <formula>AND(NOT($C33=""),K33="")</formula>
    </cfRule>
    <cfRule type="expression" dxfId="1292" priority="1284" stopIfTrue="1">
      <formula>BP33="0"</formula>
    </cfRule>
  </conditionalFormatting>
  <conditionalFormatting sqref="L33">
    <cfRule type="expression" dxfId="1291" priority="1281" stopIfTrue="1">
      <formula>AND(NOT($C33=""),L33="")</formula>
    </cfRule>
    <cfRule type="expression" dxfId="1290" priority="1282" stopIfTrue="1">
      <formula>BU33="0"</formula>
    </cfRule>
  </conditionalFormatting>
  <conditionalFormatting sqref="N33">
    <cfRule type="expression" dxfId="1289" priority="1279" stopIfTrue="1">
      <formula>AND(NOT($C33=""),N33="")</formula>
    </cfRule>
    <cfRule type="expression" dxfId="1288" priority="1280" stopIfTrue="1">
      <formula>CE33="0"</formula>
    </cfRule>
  </conditionalFormatting>
  <conditionalFormatting sqref="M33">
    <cfRule type="expression" dxfId="1287" priority="1278" stopIfTrue="1">
      <formula>BZ33="0"</formula>
    </cfRule>
  </conditionalFormatting>
  <conditionalFormatting sqref="D33">
    <cfRule type="expression" dxfId="1286" priority="1276" stopIfTrue="1">
      <formula>AND(NOT($C33=""),D33="")</formula>
    </cfRule>
    <cfRule type="expression" dxfId="1285" priority="1277" stopIfTrue="1">
      <formula>AG33="0"</formula>
    </cfRule>
  </conditionalFormatting>
  <conditionalFormatting sqref="E33">
    <cfRule type="expression" dxfId="1284" priority="1274" stopIfTrue="1">
      <formula>AND(NOT($C33=""),E33="")</formula>
    </cfRule>
    <cfRule type="expression" dxfId="1283" priority="1275" stopIfTrue="1">
      <formula>AL33="0"</formula>
    </cfRule>
  </conditionalFormatting>
  <conditionalFormatting sqref="F33">
    <cfRule type="expression" dxfId="1282" priority="1272" stopIfTrue="1">
      <formula>AND(NOT($C33=""),F33="")</formula>
    </cfRule>
    <cfRule type="expression" dxfId="1281" priority="1273" stopIfTrue="1">
      <formula>AQ33="0"</formula>
    </cfRule>
  </conditionalFormatting>
  <conditionalFormatting sqref="G33">
    <cfRule type="expression" dxfId="1280" priority="1270" stopIfTrue="1">
      <formula>AND(NOT($C33=""),G33="")</formula>
    </cfRule>
    <cfRule type="expression" dxfId="1279" priority="1271" stopIfTrue="1">
      <formula>AV33="0"</formula>
    </cfRule>
  </conditionalFormatting>
  <conditionalFormatting sqref="H33">
    <cfRule type="expression" dxfId="1278" priority="1268" stopIfTrue="1">
      <formula>AND(NOT($C33=""),H33="")</formula>
    </cfRule>
    <cfRule type="expression" dxfId="1277" priority="1269" stopIfTrue="1">
      <formula>BA33="0"</formula>
    </cfRule>
  </conditionalFormatting>
  <conditionalFormatting sqref="I33">
    <cfRule type="expression" dxfId="1276" priority="1266" stopIfTrue="1">
      <formula>AND(NOT($C33=""),I33="")</formula>
    </cfRule>
    <cfRule type="expression" dxfId="1275" priority="1267" stopIfTrue="1">
      <formula>BF33="0"</formula>
    </cfRule>
  </conditionalFormatting>
  <conditionalFormatting sqref="J33">
    <cfRule type="expression" dxfId="1274" priority="1264" stopIfTrue="1">
      <formula>AND(NOT($C33=""),J33="")</formula>
    </cfRule>
    <cfRule type="expression" dxfId="1273" priority="1265" stopIfTrue="1">
      <formula>BK33="0"</formula>
    </cfRule>
  </conditionalFormatting>
  <conditionalFormatting sqref="K33">
    <cfRule type="expression" dxfId="1272" priority="1262" stopIfTrue="1">
      <formula>AND(NOT($C33=""),K33="")</formula>
    </cfRule>
    <cfRule type="expression" dxfId="1271" priority="1263" stopIfTrue="1">
      <formula>BP33="0"</formula>
    </cfRule>
  </conditionalFormatting>
  <conditionalFormatting sqref="L33">
    <cfRule type="expression" dxfId="1270" priority="1260" stopIfTrue="1">
      <formula>AND(NOT($C33=""),L33="")</formula>
    </cfRule>
    <cfRule type="expression" dxfId="1269" priority="1261" stopIfTrue="1">
      <formula>BU33="0"</formula>
    </cfRule>
  </conditionalFormatting>
  <conditionalFormatting sqref="N33">
    <cfRule type="expression" dxfId="1268" priority="1258" stopIfTrue="1">
      <formula>AND(NOT($C33=""),N33="")</formula>
    </cfRule>
    <cfRule type="expression" dxfId="1267" priority="1259" stopIfTrue="1">
      <formula>CE33="0"</formula>
    </cfRule>
  </conditionalFormatting>
  <conditionalFormatting sqref="M33">
    <cfRule type="expression" dxfId="1266" priority="1257" stopIfTrue="1">
      <formula>BZ33="0"</formula>
    </cfRule>
  </conditionalFormatting>
  <conditionalFormatting sqref="D33">
    <cfRule type="expression" dxfId="1265" priority="1255" stopIfTrue="1">
      <formula>AND(NOT($C33=""),D33="")</formula>
    </cfRule>
    <cfRule type="expression" dxfId="1264" priority="1256" stopIfTrue="1">
      <formula>AG33="0"</formula>
    </cfRule>
  </conditionalFormatting>
  <conditionalFormatting sqref="E33">
    <cfRule type="expression" dxfId="1263" priority="1253" stopIfTrue="1">
      <formula>AND(NOT($C33=""),E33="")</formula>
    </cfRule>
    <cfRule type="expression" dxfId="1262" priority="1254" stopIfTrue="1">
      <formula>AL33="0"</formula>
    </cfRule>
  </conditionalFormatting>
  <conditionalFormatting sqref="F33">
    <cfRule type="expression" dxfId="1261" priority="1251" stopIfTrue="1">
      <formula>AND(NOT($C33=""),F33="")</formula>
    </cfRule>
    <cfRule type="expression" dxfId="1260" priority="1252" stopIfTrue="1">
      <formula>AQ33="0"</formula>
    </cfRule>
  </conditionalFormatting>
  <conditionalFormatting sqref="G33">
    <cfRule type="expression" dxfId="1259" priority="1249" stopIfTrue="1">
      <formula>AND(NOT($C33=""),G33="")</formula>
    </cfRule>
    <cfRule type="expression" dxfId="1258" priority="1250" stopIfTrue="1">
      <formula>AV33="0"</formula>
    </cfRule>
  </conditionalFormatting>
  <conditionalFormatting sqref="H33">
    <cfRule type="expression" dxfId="1257" priority="1247" stopIfTrue="1">
      <formula>AND(NOT($C33=""),H33="")</formula>
    </cfRule>
    <cfRule type="expression" dxfId="1256" priority="1248" stopIfTrue="1">
      <formula>BA33="0"</formula>
    </cfRule>
  </conditionalFormatting>
  <conditionalFormatting sqref="I33">
    <cfRule type="expression" dxfId="1255" priority="1245" stopIfTrue="1">
      <formula>AND(NOT($C33=""),I33="")</formula>
    </cfRule>
    <cfRule type="expression" dxfId="1254" priority="1246" stopIfTrue="1">
      <formula>BF33="0"</formula>
    </cfRule>
  </conditionalFormatting>
  <conditionalFormatting sqref="J33">
    <cfRule type="expression" dxfId="1253" priority="1243" stopIfTrue="1">
      <formula>AND(NOT($C33=""),J33="")</formula>
    </cfRule>
    <cfRule type="expression" dxfId="1252" priority="1244" stopIfTrue="1">
      <formula>BK33="0"</formula>
    </cfRule>
  </conditionalFormatting>
  <conditionalFormatting sqref="K33">
    <cfRule type="expression" dxfId="1251" priority="1241" stopIfTrue="1">
      <formula>AND(NOT($C33=""),K33="")</formula>
    </cfRule>
    <cfRule type="expression" dxfId="1250" priority="1242" stopIfTrue="1">
      <formula>BP33="0"</formula>
    </cfRule>
  </conditionalFormatting>
  <conditionalFormatting sqref="L33">
    <cfRule type="expression" dxfId="1249" priority="1239" stopIfTrue="1">
      <formula>AND(NOT($C33=""),L33="")</formula>
    </cfRule>
    <cfRule type="expression" dxfId="1248" priority="1240" stopIfTrue="1">
      <formula>BU33="0"</formula>
    </cfRule>
  </conditionalFormatting>
  <conditionalFormatting sqref="N33">
    <cfRule type="expression" dxfId="1247" priority="1237" stopIfTrue="1">
      <formula>AND(NOT($C33=""),N33="")</formula>
    </cfRule>
    <cfRule type="expression" dxfId="1246" priority="1238" stopIfTrue="1">
      <formula>CE33="0"</formula>
    </cfRule>
  </conditionalFormatting>
  <conditionalFormatting sqref="M33">
    <cfRule type="expression" dxfId="1245" priority="1236" stopIfTrue="1">
      <formula>BZ33="0"</formula>
    </cfRule>
  </conditionalFormatting>
  <conditionalFormatting sqref="D33">
    <cfRule type="expression" dxfId="1244" priority="1234" stopIfTrue="1">
      <formula>AND(NOT($C33=""),D33="")</formula>
    </cfRule>
    <cfRule type="expression" dxfId="1243" priority="1235" stopIfTrue="1">
      <formula>AG33="0"</formula>
    </cfRule>
  </conditionalFormatting>
  <conditionalFormatting sqref="E33">
    <cfRule type="expression" dxfId="1242" priority="1232" stopIfTrue="1">
      <formula>AND(NOT($C33=""),E33="")</formula>
    </cfRule>
    <cfRule type="expression" dxfId="1241" priority="1233" stopIfTrue="1">
      <formula>AL33="0"</formula>
    </cfRule>
  </conditionalFormatting>
  <conditionalFormatting sqref="F33">
    <cfRule type="expression" dxfId="1240" priority="1230" stopIfTrue="1">
      <formula>AND(NOT($C33=""),F33="")</formula>
    </cfRule>
    <cfRule type="expression" dxfId="1239" priority="1231" stopIfTrue="1">
      <formula>AQ33="0"</formula>
    </cfRule>
  </conditionalFormatting>
  <conditionalFormatting sqref="G33">
    <cfRule type="expression" dxfId="1238" priority="1228" stopIfTrue="1">
      <formula>AND(NOT($C33=""),G33="")</formula>
    </cfRule>
    <cfRule type="expression" dxfId="1237" priority="1229" stopIfTrue="1">
      <formula>AV33="0"</formula>
    </cfRule>
  </conditionalFormatting>
  <conditionalFormatting sqref="H33">
    <cfRule type="expression" dxfId="1236" priority="1226" stopIfTrue="1">
      <formula>AND(NOT($C33=""),H33="")</formula>
    </cfRule>
    <cfRule type="expression" dxfId="1235" priority="1227" stopIfTrue="1">
      <formula>BA33="0"</formula>
    </cfRule>
  </conditionalFormatting>
  <conditionalFormatting sqref="I33">
    <cfRule type="expression" dxfId="1234" priority="1224" stopIfTrue="1">
      <formula>AND(NOT($C33=""),I33="")</formula>
    </cfRule>
    <cfRule type="expression" dxfId="1233" priority="1225" stopIfTrue="1">
      <formula>BF33="0"</formula>
    </cfRule>
  </conditionalFormatting>
  <conditionalFormatting sqref="J33">
    <cfRule type="expression" dxfId="1232" priority="1222" stopIfTrue="1">
      <formula>AND(NOT($C33=""),J33="")</formula>
    </cfRule>
    <cfRule type="expression" dxfId="1231" priority="1223" stopIfTrue="1">
      <formula>BK33="0"</formula>
    </cfRule>
  </conditionalFormatting>
  <conditionalFormatting sqref="K33">
    <cfRule type="expression" dxfId="1230" priority="1220" stopIfTrue="1">
      <formula>AND(NOT($C33=""),K33="")</formula>
    </cfRule>
    <cfRule type="expression" dxfId="1229" priority="1221" stopIfTrue="1">
      <formula>BP33="0"</formula>
    </cfRule>
  </conditionalFormatting>
  <conditionalFormatting sqref="L33">
    <cfRule type="expression" dxfId="1228" priority="1218" stopIfTrue="1">
      <formula>AND(NOT($C33=""),L33="")</formula>
    </cfRule>
    <cfRule type="expression" dxfId="1227" priority="1219" stopIfTrue="1">
      <formula>BU33="0"</formula>
    </cfRule>
  </conditionalFormatting>
  <conditionalFormatting sqref="N33">
    <cfRule type="expression" dxfId="1226" priority="1216" stopIfTrue="1">
      <formula>AND(NOT($C33=""),N33="")</formula>
    </cfRule>
    <cfRule type="expression" dxfId="1225" priority="1217" stopIfTrue="1">
      <formula>CE33="0"</formula>
    </cfRule>
  </conditionalFormatting>
  <conditionalFormatting sqref="M33">
    <cfRule type="expression" dxfId="1224" priority="1215" stopIfTrue="1">
      <formula>BZ33="0"</formula>
    </cfRule>
  </conditionalFormatting>
  <conditionalFormatting sqref="D33">
    <cfRule type="expression" dxfId="1223" priority="1213" stopIfTrue="1">
      <formula>AND(NOT($C33=""),D33="")</formula>
    </cfRule>
    <cfRule type="expression" dxfId="1222" priority="1214" stopIfTrue="1">
      <formula>AG33="0"</formula>
    </cfRule>
  </conditionalFormatting>
  <conditionalFormatting sqref="E33">
    <cfRule type="expression" dxfId="1221" priority="1211" stopIfTrue="1">
      <formula>AND(NOT($C33=""),E33="")</formula>
    </cfRule>
    <cfRule type="expression" dxfId="1220" priority="1212" stopIfTrue="1">
      <formula>AL33="0"</formula>
    </cfRule>
  </conditionalFormatting>
  <conditionalFormatting sqref="F33">
    <cfRule type="expression" dxfId="1219" priority="1209" stopIfTrue="1">
      <formula>AND(NOT($C33=""),F33="")</formula>
    </cfRule>
    <cfRule type="expression" dxfId="1218" priority="1210" stopIfTrue="1">
      <formula>AQ33="0"</formula>
    </cfRule>
  </conditionalFormatting>
  <conditionalFormatting sqref="G33">
    <cfRule type="expression" dxfId="1217" priority="1207" stopIfTrue="1">
      <formula>AND(NOT($C33=""),G33="")</formula>
    </cfRule>
    <cfRule type="expression" dxfId="1216" priority="1208" stopIfTrue="1">
      <formula>AV33="0"</formula>
    </cfRule>
  </conditionalFormatting>
  <conditionalFormatting sqref="H33">
    <cfRule type="expression" dxfId="1215" priority="1205" stopIfTrue="1">
      <formula>AND(NOT($C33=""),H33="")</formula>
    </cfRule>
    <cfRule type="expression" dxfId="1214" priority="1206" stopIfTrue="1">
      <formula>BA33="0"</formula>
    </cfRule>
  </conditionalFormatting>
  <conditionalFormatting sqref="I33">
    <cfRule type="expression" dxfId="1213" priority="1203" stopIfTrue="1">
      <formula>AND(NOT($C33=""),I33="")</formula>
    </cfRule>
    <cfRule type="expression" dxfId="1212" priority="1204" stopIfTrue="1">
      <formula>BF33="0"</formula>
    </cfRule>
  </conditionalFormatting>
  <conditionalFormatting sqref="J33">
    <cfRule type="expression" dxfId="1211" priority="1201" stopIfTrue="1">
      <formula>AND(NOT($C33=""),J33="")</formula>
    </cfRule>
    <cfRule type="expression" dxfId="1210" priority="1202" stopIfTrue="1">
      <formula>BK33="0"</formula>
    </cfRule>
  </conditionalFormatting>
  <conditionalFormatting sqref="K33">
    <cfRule type="expression" dxfId="1209" priority="1199" stopIfTrue="1">
      <formula>AND(NOT($C33=""),K33="")</formula>
    </cfRule>
    <cfRule type="expression" dxfId="1208" priority="1200" stopIfTrue="1">
      <formula>BP33="0"</formula>
    </cfRule>
  </conditionalFormatting>
  <conditionalFormatting sqref="L33">
    <cfRule type="expression" dxfId="1207" priority="1197" stopIfTrue="1">
      <formula>AND(NOT($C33=""),L33="")</formula>
    </cfRule>
    <cfRule type="expression" dxfId="1206" priority="1198" stopIfTrue="1">
      <formula>BU33="0"</formula>
    </cfRule>
  </conditionalFormatting>
  <conditionalFormatting sqref="N33">
    <cfRule type="expression" dxfId="1205" priority="1195" stopIfTrue="1">
      <formula>AND(NOT($C33=""),N33="")</formula>
    </cfRule>
    <cfRule type="expression" dxfId="1204" priority="1196" stopIfTrue="1">
      <formula>CE33="0"</formula>
    </cfRule>
  </conditionalFormatting>
  <conditionalFormatting sqref="M35">
    <cfRule type="expression" dxfId="1203" priority="1194" stopIfTrue="1">
      <formula>BZ35="0"</formula>
    </cfRule>
  </conditionalFormatting>
  <conditionalFormatting sqref="E35">
    <cfRule type="expression" dxfId="1202" priority="1192" stopIfTrue="1">
      <formula>AND(NOT($C35=""),E35="")</formula>
    </cfRule>
    <cfRule type="expression" dxfId="1201" priority="1193" stopIfTrue="1">
      <formula>AL35="0"</formula>
    </cfRule>
  </conditionalFormatting>
  <conditionalFormatting sqref="F35">
    <cfRule type="expression" dxfId="1200" priority="1190" stopIfTrue="1">
      <formula>AND(NOT($C35=""),F35="")</formula>
    </cfRule>
    <cfRule type="expression" dxfId="1199" priority="1191" stopIfTrue="1">
      <formula>AQ35="0"</formula>
    </cfRule>
  </conditionalFormatting>
  <conditionalFormatting sqref="G35">
    <cfRule type="expression" dxfId="1198" priority="1188" stopIfTrue="1">
      <formula>AND(NOT($C35=""),G35="")</formula>
    </cfRule>
    <cfRule type="expression" dxfId="1197" priority="1189" stopIfTrue="1">
      <formula>AV35="0"</formula>
    </cfRule>
  </conditionalFormatting>
  <conditionalFormatting sqref="H35">
    <cfRule type="expression" dxfId="1196" priority="1186" stopIfTrue="1">
      <formula>AND(NOT($C35=""),H35="")</formula>
    </cfRule>
    <cfRule type="expression" dxfId="1195" priority="1187" stopIfTrue="1">
      <formula>BA35="0"</formula>
    </cfRule>
  </conditionalFormatting>
  <conditionalFormatting sqref="I35">
    <cfRule type="expression" dxfId="1194" priority="1184" stopIfTrue="1">
      <formula>AND(NOT($C35=""),I35="")</formula>
    </cfRule>
    <cfRule type="expression" dxfId="1193" priority="1185" stopIfTrue="1">
      <formula>BF35="0"</formula>
    </cfRule>
  </conditionalFormatting>
  <conditionalFormatting sqref="J35">
    <cfRule type="expression" dxfId="1192" priority="1182" stopIfTrue="1">
      <formula>AND(NOT($C35=""),J35="")</formula>
    </cfRule>
    <cfRule type="expression" dxfId="1191" priority="1183" stopIfTrue="1">
      <formula>BK35="0"</formula>
    </cfRule>
  </conditionalFormatting>
  <conditionalFormatting sqref="K35">
    <cfRule type="expression" dxfId="1190" priority="1180" stopIfTrue="1">
      <formula>AND(NOT($C35=""),K35="")</formula>
    </cfRule>
    <cfRule type="expression" dxfId="1189" priority="1181" stopIfTrue="1">
      <formula>BP35="0"</formula>
    </cfRule>
  </conditionalFormatting>
  <conditionalFormatting sqref="L35">
    <cfRule type="expression" dxfId="1188" priority="1178" stopIfTrue="1">
      <formula>AND(NOT($C35=""),L35="")</formula>
    </cfRule>
    <cfRule type="expression" dxfId="1187" priority="1179" stopIfTrue="1">
      <formula>BU35="0"</formula>
    </cfRule>
  </conditionalFormatting>
  <conditionalFormatting sqref="N35">
    <cfRule type="expression" dxfId="1186" priority="1176" stopIfTrue="1">
      <formula>AND(NOT($C35=""),N35="")</formula>
    </cfRule>
    <cfRule type="expression" dxfId="1185" priority="1177" stopIfTrue="1">
      <formula>CE35="0"</formula>
    </cfRule>
  </conditionalFormatting>
  <conditionalFormatting sqref="M35">
    <cfRule type="expression" dxfId="1184" priority="1175" stopIfTrue="1">
      <formula>BZ35="0"</formula>
    </cfRule>
  </conditionalFormatting>
  <conditionalFormatting sqref="D35">
    <cfRule type="expression" dxfId="1183" priority="1173" stopIfTrue="1">
      <formula>AND(NOT($C35=""),D35="")</formula>
    </cfRule>
    <cfRule type="expression" dxfId="1182" priority="1174" stopIfTrue="1">
      <formula>AG35="0"</formula>
    </cfRule>
  </conditionalFormatting>
  <conditionalFormatting sqref="E35">
    <cfRule type="expression" dxfId="1181" priority="1171" stopIfTrue="1">
      <formula>AND(NOT($C35=""),E35="")</formula>
    </cfRule>
    <cfRule type="expression" dxfId="1180" priority="1172" stopIfTrue="1">
      <formula>AL35="0"</formula>
    </cfRule>
  </conditionalFormatting>
  <conditionalFormatting sqref="F35">
    <cfRule type="expression" dxfId="1179" priority="1169" stopIfTrue="1">
      <formula>AND(NOT($C35=""),F35="")</formula>
    </cfRule>
    <cfRule type="expression" dxfId="1178" priority="1170" stopIfTrue="1">
      <formula>AQ35="0"</formula>
    </cfRule>
  </conditionalFormatting>
  <conditionalFormatting sqref="G35">
    <cfRule type="expression" dxfId="1177" priority="1167" stopIfTrue="1">
      <formula>AND(NOT($C35=""),G35="")</formula>
    </cfRule>
    <cfRule type="expression" dxfId="1176" priority="1168" stopIfTrue="1">
      <formula>AV35="0"</formula>
    </cfRule>
  </conditionalFormatting>
  <conditionalFormatting sqref="H35">
    <cfRule type="expression" dxfId="1175" priority="1165" stopIfTrue="1">
      <formula>AND(NOT($C35=""),H35="")</formula>
    </cfRule>
    <cfRule type="expression" dxfId="1174" priority="1166" stopIfTrue="1">
      <formula>BA35="0"</formula>
    </cfRule>
  </conditionalFormatting>
  <conditionalFormatting sqref="I35">
    <cfRule type="expression" dxfId="1173" priority="1163" stopIfTrue="1">
      <formula>AND(NOT($C35=""),I35="")</formula>
    </cfRule>
    <cfRule type="expression" dxfId="1172" priority="1164" stopIfTrue="1">
      <formula>BF35="0"</formula>
    </cfRule>
  </conditionalFormatting>
  <conditionalFormatting sqref="J35">
    <cfRule type="expression" dxfId="1171" priority="1161" stopIfTrue="1">
      <formula>AND(NOT($C35=""),J35="")</formula>
    </cfRule>
    <cfRule type="expression" dxfId="1170" priority="1162" stopIfTrue="1">
      <formula>BK35="0"</formula>
    </cfRule>
  </conditionalFormatting>
  <conditionalFormatting sqref="K35">
    <cfRule type="expression" dxfId="1169" priority="1159" stopIfTrue="1">
      <formula>AND(NOT($C35=""),K35="")</formula>
    </cfRule>
    <cfRule type="expression" dxfId="1168" priority="1160" stopIfTrue="1">
      <formula>BP35="0"</formula>
    </cfRule>
  </conditionalFormatting>
  <conditionalFormatting sqref="L35">
    <cfRule type="expression" dxfId="1167" priority="1157" stopIfTrue="1">
      <formula>AND(NOT($C35=""),L35="")</formula>
    </cfRule>
    <cfRule type="expression" dxfId="1166" priority="1158" stopIfTrue="1">
      <formula>BU35="0"</formula>
    </cfRule>
  </conditionalFormatting>
  <conditionalFormatting sqref="N35">
    <cfRule type="expression" dxfId="1165" priority="1155" stopIfTrue="1">
      <formula>AND(NOT($C35=""),N35="")</formula>
    </cfRule>
    <cfRule type="expression" dxfId="1164" priority="1156" stopIfTrue="1">
      <formula>CE35="0"</formula>
    </cfRule>
  </conditionalFormatting>
  <conditionalFormatting sqref="M35">
    <cfRule type="expression" dxfId="1163" priority="1154" stopIfTrue="1">
      <formula>BZ35="0"</formula>
    </cfRule>
  </conditionalFormatting>
  <conditionalFormatting sqref="D35">
    <cfRule type="expression" dxfId="1162" priority="1152" stopIfTrue="1">
      <formula>AND(NOT($C35=""),D35="")</formula>
    </cfRule>
    <cfRule type="expression" dxfId="1161" priority="1153" stopIfTrue="1">
      <formula>AG35="0"</formula>
    </cfRule>
  </conditionalFormatting>
  <conditionalFormatting sqref="E35">
    <cfRule type="expression" dxfId="1160" priority="1150" stopIfTrue="1">
      <formula>AND(NOT($C35=""),E35="")</formula>
    </cfRule>
    <cfRule type="expression" dxfId="1159" priority="1151" stopIfTrue="1">
      <formula>AL35="0"</formula>
    </cfRule>
  </conditionalFormatting>
  <conditionalFormatting sqref="F35">
    <cfRule type="expression" dxfId="1158" priority="1148" stopIfTrue="1">
      <formula>AND(NOT($C35=""),F35="")</formula>
    </cfRule>
    <cfRule type="expression" dxfId="1157" priority="1149" stopIfTrue="1">
      <formula>AQ35="0"</formula>
    </cfRule>
  </conditionalFormatting>
  <conditionalFormatting sqref="G35">
    <cfRule type="expression" dxfId="1156" priority="1146" stopIfTrue="1">
      <formula>AND(NOT($C35=""),G35="")</formula>
    </cfRule>
    <cfRule type="expression" dxfId="1155" priority="1147" stopIfTrue="1">
      <formula>AV35="0"</formula>
    </cfRule>
  </conditionalFormatting>
  <conditionalFormatting sqref="H35">
    <cfRule type="expression" dxfId="1154" priority="1144" stopIfTrue="1">
      <formula>AND(NOT($C35=""),H35="")</formula>
    </cfRule>
    <cfRule type="expression" dxfId="1153" priority="1145" stopIfTrue="1">
      <formula>BA35="0"</formula>
    </cfRule>
  </conditionalFormatting>
  <conditionalFormatting sqref="I35">
    <cfRule type="expression" dxfId="1152" priority="1142" stopIfTrue="1">
      <formula>AND(NOT($C35=""),I35="")</formula>
    </cfRule>
    <cfRule type="expression" dxfId="1151" priority="1143" stopIfTrue="1">
      <formula>BF35="0"</formula>
    </cfRule>
  </conditionalFormatting>
  <conditionalFormatting sqref="J35">
    <cfRule type="expression" dxfId="1150" priority="1140" stopIfTrue="1">
      <formula>AND(NOT($C35=""),J35="")</formula>
    </cfRule>
    <cfRule type="expression" dxfId="1149" priority="1141" stopIfTrue="1">
      <formula>BK35="0"</formula>
    </cfRule>
  </conditionalFormatting>
  <conditionalFormatting sqref="K35">
    <cfRule type="expression" dxfId="1148" priority="1138" stopIfTrue="1">
      <formula>AND(NOT($C35=""),K35="")</formula>
    </cfRule>
    <cfRule type="expression" dxfId="1147" priority="1139" stopIfTrue="1">
      <formula>BP35="0"</formula>
    </cfRule>
  </conditionalFormatting>
  <conditionalFormatting sqref="L35">
    <cfRule type="expression" dxfId="1146" priority="1136" stopIfTrue="1">
      <formula>AND(NOT($C35=""),L35="")</formula>
    </cfRule>
    <cfRule type="expression" dxfId="1145" priority="1137" stopIfTrue="1">
      <formula>BU35="0"</formula>
    </cfRule>
  </conditionalFormatting>
  <conditionalFormatting sqref="N35">
    <cfRule type="expression" dxfId="1144" priority="1134" stopIfTrue="1">
      <formula>AND(NOT($C35=""),N35="")</formula>
    </cfRule>
    <cfRule type="expression" dxfId="1143" priority="1135" stopIfTrue="1">
      <formula>CE35="0"</formula>
    </cfRule>
  </conditionalFormatting>
  <conditionalFormatting sqref="M35">
    <cfRule type="expression" dxfId="1142" priority="1133" stopIfTrue="1">
      <formula>BZ35="0"</formula>
    </cfRule>
  </conditionalFormatting>
  <conditionalFormatting sqref="D35">
    <cfRule type="expression" dxfId="1141" priority="1131" stopIfTrue="1">
      <formula>AND(NOT($C35=""),D35="")</formula>
    </cfRule>
    <cfRule type="expression" dxfId="1140" priority="1132" stopIfTrue="1">
      <formula>AG35="0"</formula>
    </cfRule>
  </conditionalFormatting>
  <conditionalFormatting sqref="E35">
    <cfRule type="expression" dxfId="1139" priority="1129" stopIfTrue="1">
      <formula>AND(NOT($C35=""),E35="")</formula>
    </cfRule>
    <cfRule type="expression" dxfId="1138" priority="1130" stopIfTrue="1">
      <formula>AL35="0"</formula>
    </cfRule>
  </conditionalFormatting>
  <conditionalFormatting sqref="F35">
    <cfRule type="expression" dxfId="1137" priority="1127" stopIfTrue="1">
      <formula>AND(NOT($C35=""),F35="")</formula>
    </cfRule>
    <cfRule type="expression" dxfId="1136" priority="1128" stopIfTrue="1">
      <formula>AQ35="0"</formula>
    </cfRule>
  </conditionalFormatting>
  <conditionalFormatting sqref="G35">
    <cfRule type="expression" dxfId="1135" priority="1125" stopIfTrue="1">
      <formula>AND(NOT($C35=""),G35="")</formula>
    </cfRule>
    <cfRule type="expression" dxfId="1134" priority="1126" stopIfTrue="1">
      <formula>AV35="0"</formula>
    </cfRule>
  </conditionalFormatting>
  <conditionalFormatting sqref="H35">
    <cfRule type="expression" dxfId="1133" priority="1123" stopIfTrue="1">
      <formula>AND(NOT($C35=""),H35="")</formula>
    </cfRule>
    <cfRule type="expression" dxfId="1132" priority="1124" stopIfTrue="1">
      <formula>BA35="0"</formula>
    </cfRule>
  </conditionalFormatting>
  <conditionalFormatting sqref="I35">
    <cfRule type="expression" dxfId="1131" priority="1121" stopIfTrue="1">
      <formula>AND(NOT($C35=""),I35="")</formula>
    </cfRule>
    <cfRule type="expression" dxfId="1130" priority="1122" stopIfTrue="1">
      <formula>BF35="0"</formula>
    </cfRule>
  </conditionalFormatting>
  <conditionalFormatting sqref="J35">
    <cfRule type="expression" dxfId="1129" priority="1119" stopIfTrue="1">
      <formula>AND(NOT($C35=""),J35="")</formula>
    </cfRule>
    <cfRule type="expression" dxfId="1128" priority="1120" stopIfTrue="1">
      <formula>BK35="0"</formula>
    </cfRule>
  </conditionalFormatting>
  <conditionalFormatting sqref="K35">
    <cfRule type="expression" dxfId="1127" priority="1117" stopIfTrue="1">
      <formula>AND(NOT($C35=""),K35="")</formula>
    </cfRule>
    <cfRule type="expression" dxfId="1126" priority="1118" stopIfTrue="1">
      <formula>BP35="0"</formula>
    </cfRule>
  </conditionalFormatting>
  <conditionalFormatting sqref="L35">
    <cfRule type="expression" dxfId="1125" priority="1115" stopIfTrue="1">
      <formula>AND(NOT($C35=""),L35="")</formula>
    </cfRule>
    <cfRule type="expression" dxfId="1124" priority="1116" stopIfTrue="1">
      <formula>BU35="0"</formula>
    </cfRule>
  </conditionalFormatting>
  <conditionalFormatting sqref="N35">
    <cfRule type="expression" dxfId="1123" priority="1113" stopIfTrue="1">
      <formula>AND(NOT($C35=""),N35="")</formula>
    </cfRule>
    <cfRule type="expression" dxfId="1122" priority="1114" stopIfTrue="1">
      <formula>CE35="0"</formula>
    </cfRule>
  </conditionalFormatting>
  <conditionalFormatting sqref="M35">
    <cfRule type="expression" dxfId="1121" priority="1112" stopIfTrue="1">
      <formula>BZ35="0"</formula>
    </cfRule>
  </conditionalFormatting>
  <conditionalFormatting sqref="D35">
    <cfRule type="expression" dxfId="1120" priority="1110" stopIfTrue="1">
      <formula>AND(NOT($C35=""),D35="")</formula>
    </cfRule>
    <cfRule type="expression" dxfId="1119" priority="1111" stopIfTrue="1">
      <formula>AG35="0"</formula>
    </cfRule>
  </conditionalFormatting>
  <conditionalFormatting sqref="E35">
    <cfRule type="expression" dxfId="1118" priority="1108" stopIfTrue="1">
      <formula>AND(NOT($C35=""),E35="")</formula>
    </cfRule>
    <cfRule type="expression" dxfId="1117" priority="1109" stopIfTrue="1">
      <formula>AL35="0"</formula>
    </cfRule>
  </conditionalFormatting>
  <conditionalFormatting sqref="F35">
    <cfRule type="expression" dxfId="1116" priority="1106" stopIfTrue="1">
      <formula>AND(NOT($C35=""),F35="")</formula>
    </cfRule>
    <cfRule type="expression" dxfId="1115" priority="1107" stopIfTrue="1">
      <formula>AQ35="0"</formula>
    </cfRule>
  </conditionalFormatting>
  <conditionalFormatting sqref="G35">
    <cfRule type="expression" dxfId="1114" priority="1104" stopIfTrue="1">
      <formula>AND(NOT($C35=""),G35="")</formula>
    </cfRule>
    <cfRule type="expression" dxfId="1113" priority="1105" stopIfTrue="1">
      <formula>AV35="0"</formula>
    </cfRule>
  </conditionalFormatting>
  <conditionalFormatting sqref="H35">
    <cfRule type="expression" dxfId="1112" priority="1102" stopIfTrue="1">
      <formula>AND(NOT($C35=""),H35="")</formula>
    </cfRule>
    <cfRule type="expression" dxfId="1111" priority="1103" stopIfTrue="1">
      <formula>BA35="0"</formula>
    </cfRule>
  </conditionalFormatting>
  <conditionalFormatting sqref="I35">
    <cfRule type="expression" dxfId="1110" priority="1100" stopIfTrue="1">
      <formula>AND(NOT($C35=""),I35="")</formula>
    </cfRule>
    <cfRule type="expression" dxfId="1109" priority="1101" stopIfTrue="1">
      <formula>BF35="0"</formula>
    </cfRule>
  </conditionalFormatting>
  <conditionalFormatting sqref="J35">
    <cfRule type="expression" dxfId="1108" priority="1098" stopIfTrue="1">
      <formula>AND(NOT($C35=""),J35="")</formula>
    </cfRule>
    <cfRule type="expression" dxfId="1107" priority="1099" stopIfTrue="1">
      <formula>BK35="0"</formula>
    </cfRule>
  </conditionalFormatting>
  <conditionalFormatting sqref="K35">
    <cfRule type="expression" dxfId="1106" priority="1096" stopIfTrue="1">
      <formula>AND(NOT($C35=""),K35="")</formula>
    </cfRule>
    <cfRule type="expression" dxfId="1105" priority="1097" stopIfTrue="1">
      <formula>BP35="0"</formula>
    </cfRule>
  </conditionalFormatting>
  <conditionalFormatting sqref="L35">
    <cfRule type="expression" dxfId="1104" priority="1094" stopIfTrue="1">
      <formula>AND(NOT($C35=""),L35="")</formula>
    </cfRule>
    <cfRule type="expression" dxfId="1103" priority="1095" stopIfTrue="1">
      <formula>BU35="0"</formula>
    </cfRule>
  </conditionalFormatting>
  <conditionalFormatting sqref="N35">
    <cfRule type="expression" dxfId="1102" priority="1092" stopIfTrue="1">
      <formula>AND(NOT($C35=""),N35="")</formula>
    </cfRule>
    <cfRule type="expression" dxfId="1101" priority="1093" stopIfTrue="1">
      <formula>CE35="0"</formula>
    </cfRule>
  </conditionalFormatting>
  <conditionalFormatting sqref="M35">
    <cfRule type="expression" dxfId="1100" priority="1091" stopIfTrue="1">
      <formula>BZ35="0"</formula>
    </cfRule>
  </conditionalFormatting>
  <conditionalFormatting sqref="E35">
    <cfRule type="expression" dxfId="1099" priority="1089" stopIfTrue="1">
      <formula>AND(NOT($C35=""),E35="")</formula>
    </cfRule>
    <cfRule type="expression" dxfId="1098" priority="1090" stopIfTrue="1">
      <formula>AL35="0"</formula>
    </cfRule>
  </conditionalFormatting>
  <conditionalFormatting sqref="F35">
    <cfRule type="expression" dxfId="1097" priority="1087" stopIfTrue="1">
      <formula>AND(NOT($C35=""),F35="")</formula>
    </cfRule>
    <cfRule type="expression" dxfId="1096" priority="1088" stopIfTrue="1">
      <formula>AQ35="0"</formula>
    </cfRule>
  </conditionalFormatting>
  <conditionalFormatting sqref="G35">
    <cfRule type="expression" dxfId="1095" priority="1085" stopIfTrue="1">
      <formula>AND(NOT($C35=""),G35="")</formula>
    </cfRule>
    <cfRule type="expression" dxfId="1094" priority="1086" stopIfTrue="1">
      <formula>AV35="0"</formula>
    </cfRule>
  </conditionalFormatting>
  <conditionalFormatting sqref="H35">
    <cfRule type="expression" dxfId="1093" priority="1083" stopIfTrue="1">
      <formula>AND(NOT($C35=""),H35="")</formula>
    </cfRule>
    <cfRule type="expression" dxfId="1092" priority="1084" stopIfTrue="1">
      <formula>BA35="0"</formula>
    </cfRule>
  </conditionalFormatting>
  <conditionalFormatting sqref="I35">
    <cfRule type="expression" dxfId="1091" priority="1081" stopIfTrue="1">
      <formula>AND(NOT($C35=""),I35="")</formula>
    </cfRule>
    <cfRule type="expression" dxfId="1090" priority="1082" stopIfTrue="1">
      <formula>BF35="0"</formula>
    </cfRule>
  </conditionalFormatting>
  <conditionalFormatting sqref="J35">
    <cfRule type="expression" dxfId="1089" priority="1079" stopIfTrue="1">
      <formula>AND(NOT($C35=""),J35="")</formula>
    </cfRule>
    <cfRule type="expression" dxfId="1088" priority="1080" stopIfTrue="1">
      <formula>BK35="0"</formula>
    </cfRule>
  </conditionalFormatting>
  <conditionalFormatting sqref="K35">
    <cfRule type="expression" dxfId="1087" priority="1077" stopIfTrue="1">
      <formula>AND(NOT($C35=""),K35="")</formula>
    </cfRule>
    <cfRule type="expression" dxfId="1086" priority="1078" stopIfTrue="1">
      <formula>BP35="0"</formula>
    </cfRule>
  </conditionalFormatting>
  <conditionalFormatting sqref="L35">
    <cfRule type="expression" dxfId="1085" priority="1075" stopIfTrue="1">
      <formula>AND(NOT($C35=""),L35="")</formula>
    </cfRule>
    <cfRule type="expression" dxfId="1084" priority="1076" stopIfTrue="1">
      <formula>BU35="0"</formula>
    </cfRule>
  </conditionalFormatting>
  <conditionalFormatting sqref="N35">
    <cfRule type="expression" dxfId="1083" priority="1073" stopIfTrue="1">
      <formula>AND(NOT($C35=""),N35="")</formula>
    </cfRule>
    <cfRule type="expression" dxfId="1082" priority="1074" stopIfTrue="1">
      <formula>CE35="0"</formula>
    </cfRule>
  </conditionalFormatting>
  <conditionalFormatting sqref="M35">
    <cfRule type="expression" dxfId="1081" priority="1072" stopIfTrue="1">
      <formula>BZ35="0"</formula>
    </cfRule>
  </conditionalFormatting>
  <conditionalFormatting sqref="D35">
    <cfRule type="expression" dxfId="1080" priority="1070" stopIfTrue="1">
      <formula>AND(NOT($C35=""),D35="")</formula>
    </cfRule>
    <cfRule type="expression" dxfId="1079" priority="1071" stopIfTrue="1">
      <formula>AG35="0"</formula>
    </cfRule>
  </conditionalFormatting>
  <conditionalFormatting sqref="E35">
    <cfRule type="expression" dxfId="1078" priority="1068" stopIfTrue="1">
      <formula>AND(NOT($C35=""),E35="")</formula>
    </cfRule>
    <cfRule type="expression" dxfId="1077" priority="1069" stopIfTrue="1">
      <formula>AL35="0"</formula>
    </cfRule>
  </conditionalFormatting>
  <conditionalFormatting sqref="F35">
    <cfRule type="expression" dxfId="1076" priority="1066" stopIfTrue="1">
      <formula>AND(NOT($C35=""),F35="")</formula>
    </cfRule>
    <cfRule type="expression" dxfId="1075" priority="1067" stopIfTrue="1">
      <formula>AQ35="0"</formula>
    </cfRule>
  </conditionalFormatting>
  <conditionalFormatting sqref="G35">
    <cfRule type="expression" dxfId="1074" priority="1064" stopIfTrue="1">
      <formula>AND(NOT($C35=""),G35="")</formula>
    </cfRule>
    <cfRule type="expression" dxfId="1073" priority="1065" stopIfTrue="1">
      <formula>AV35="0"</formula>
    </cfRule>
  </conditionalFormatting>
  <conditionalFormatting sqref="H35">
    <cfRule type="expression" dxfId="1072" priority="1062" stopIfTrue="1">
      <formula>AND(NOT($C35=""),H35="")</formula>
    </cfRule>
    <cfRule type="expression" dxfId="1071" priority="1063" stopIfTrue="1">
      <formula>BA35="0"</formula>
    </cfRule>
  </conditionalFormatting>
  <conditionalFormatting sqref="I35">
    <cfRule type="expression" dxfId="1070" priority="1060" stopIfTrue="1">
      <formula>AND(NOT($C35=""),I35="")</formula>
    </cfRule>
    <cfRule type="expression" dxfId="1069" priority="1061" stopIfTrue="1">
      <formula>BF35="0"</formula>
    </cfRule>
  </conditionalFormatting>
  <conditionalFormatting sqref="J35">
    <cfRule type="expression" dxfId="1068" priority="1058" stopIfTrue="1">
      <formula>AND(NOT($C35=""),J35="")</formula>
    </cfRule>
    <cfRule type="expression" dxfId="1067" priority="1059" stopIfTrue="1">
      <formula>BK35="0"</formula>
    </cfRule>
  </conditionalFormatting>
  <conditionalFormatting sqref="K35">
    <cfRule type="expression" dxfId="1066" priority="1056" stopIfTrue="1">
      <formula>AND(NOT($C35=""),K35="")</formula>
    </cfRule>
    <cfRule type="expression" dxfId="1065" priority="1057" stopIfTrue="1">
      <formula>BP35="0"</formula>
    </cfRule>
  </conditionalFormatting>
  <conditionalFormatting sqref="L35">
    <cfRule type="expression" dxfId="1064" priority="1054" stopIfTrue="1">
      <formula>AND(NOT($C35=""),L35="")</formula>
    </cfRule>
    <cfRule type="expression" dxfId="1063" priority="1055" stopIfTrue="1">
      <formula>BU35="0"</formula>
    </cfRule>
  </conditionalFormatting>
  <conditionalFormatting sqref="N35">
    <cfRule type="expression" dxfId="1062" priority="1052" stopIfTrue="1">
      <formula>AND(NOT($C35=""),N35="")</formula>
    </cfRule>
    <cfRule type="expression" dxfId="1061" priority="1053" stopIfTrue="1">
      <formula>CE35="0"</formula>
    </cfRule>
  </conditionalFormatting>
  <conditionalFormatting sqref="M35">
    <cfRule type="expression" dxfId="1060" priority="1051" stopIfTrue="1">
      <formula>BZ35="0"</formula>
    </cfRule>
  </conditionalFormatting>
  <conditionalFormatting sqref="D35">
    <cfRule type="expression" dxfId="1059" priority="1049" stopIfTrue="1">
      <formula>AND(NOT($C35=""),D35="")</formula>
    </cfRule>
    <cfRule type="expression" dxfId="1058" priority="1050" stopIfTrue="1">
      <formula>AG35="0"</formula>
    </cfRule>
  </conditionalFormatting>
  <conditionalFormatting sqref="E35">
    <cfRule type="expression" dxfId="1057" priority="1047" stopIfTrue="1">
      <formula>AND(NOT($C35=""),E35="")</formula>
    </cfRule>
    <cfRule type="expression" dxfId="1056" priority="1048" stopIfTrue="1">
      <formula>AL35="0"</formula>
    </cfRule>
  </conditionalFormatting>
  <conditionalFormatting sqref="F35">
    <cfRule type="expression" dxfId="1055" priority="1045" stopIfTrue="1">
      <formula>AND(NOT($C35=""),F35="")</formula>
    </cfRule>
    <cfRule type="expression" dxfId="1054" priority="1046" stopIfTrue="1">
      <formula>AQ35="0"</formula>
    </cfRule>
  </conditionalFormatting>
  <conditionalFormatting sqref="G35">
    <cfRule type="expression" dxfId="1053" priority="1043" stopIfTrue="1">
      <formula>AND(NOT($C35=""),G35="")</formula>
    </cfRule>
    <cfRule type="expression" dxfId="1052" priority="1044" stopIfTrue="1">
      <formula>AV35="0"</formula>
    </cfRule>
  </conditionalFormatting>
  <conditionalFormatting sqref="H35">
    <cfRule type="expression" dxfId="1051" priority="1041" stopIfTrue="1">
      <formula>AND(NOT($C35=""),H35="")</formula>
    </cfRule>
    <cfRule type="expression" dxfId="1050" priority="1042" stopIfTrue="1">
      <formula>BA35="0"</formula>
    </cfRule>
  </conditionalFormatting>
  <conditionalFormatting sqref="I35">
    <cfRule type="expression" dxfId="1049" priority="1039" stopIfTrue="1">
      <formula>AND(NOT($C35=""),I35="")</formula>
    </cfRule>
    <cfRule type="expression" dxfId="1048" priority="1040" stopIfTrue="1">
      <formula>BF35="0"</formula>
    </cfRule>
  </conditionalFormatting>
  <conditionalFormatting sqref="J35">
    <cfRule type="expression" dxfId="1047" priority="1037" stopIfTrue="1">
      <formula>AND(NOT($C35=""),J35="")</formula>
    </cfRule>
    <cfRule type="expression" dxfId="1046" priority="1038" stopIfTrue="1">
      <formula>BK35="0"</formula>
    </cfRule>
  </conditionalFormatting>
  <conditionalFormatting sqref="K35">
    <cfRule type="expression" dxfId="1045" priority="1035" stopIfTrue="1">
      <formula>AND(NOT($C35=""),K35="")</formula>
    </cfRule>
    <cfRule type="expression" dxfId="1044" priority="1036" stopIfTrue="1">
      <formula>BP35="0"</formula>
    </cfRule>
  </conditionalFormatting>
  <conditionalFormatting sqref="L35">
    <cfRule type="expression" dxfId="1043" priority="1033" stopIfTrue="1">
      <formula>AND(NOT($C35=""),L35="")</formula>
    </cfRule>
    <cfRule type="expression" dxfId="1042" priority="1034" stopIfTrue="1">
      <formula>BU35="0"</formula>
    </cfRule>
  </conditionalFormatting>
  <conditionalFormatting sqref="N35">
    <cfRule type="expression" dxfId="1041" priority="1031" stopIfTrue="1">
      <formula>AND(NOT($C35=""),N35="")</formula>
    </cfRule>
    <cfRule type="expression" dxfId="1040" priority="1032" stopIfTrue="1">
      <formula>CE35="0"</formula>
    </cfRule>
  </conditionalFormatting>
  <conditionalFormatting sqref="M35">
    <cfRule type="expression" dxfId="1039" priority="1030" stopIfTrue="1">
      <formula>BZ35="0"</formula>
    </cfRule>
  </conditionalFormatting>
  <conditionalFormatting sqref="D35">
    <cfRule type="expression" dxfId="1038" priority="1028" stopIfTrue="1">
      <formula>AND(NOT($C35=""),D35="")</formula>
    </cfRule>
    <cfRule type="expression" dxfId="1037" priority="1029" stopIfTrue="1">
      <formula>AG35="0"</formula>
    </cfRule>
  </conditionalFormatting>
  <conditionalFormatting sqref="E35">
    <cfRule type="expression" dxfId="1036" priority="1026" stopIfTrue="1">
      <formula>AND(NOT($C35=""),E35="")</formula>
    </cfRule>
    <cfRule type="expression" dxfId="1035" priority="1027" stopIfTrue="1">
      <formula>AL35="0"</formula>
    </cfRule>
  </conditionalFormatting>
  <conditionalFormatting sqref="F35">
    <cfRule type="expression" dxfId="1034" priority="1024" stopIfTrue="1">
      <formula>AND(NOT($C35=""),F35="")</formula>
    </cfRule>
    <cfRule type="expression" dxfId="1033" priority="1025" stopIfTrue="1">
      <formula>AQ35="0"</formula>
    </cfRule>
  </conditionalFormatting>
  <conditionalFormatting sqref="G35">
    <cfRule type="expression" dxfId="1032" priority="1022" stopIfTrue="1">
      <formula>AND(NOT($C35=""),G35="")</formula>
    </cfRule>
    <cfRule type="expression" dxfId="1031" priority="1023" stopIfTrue="1">
      <formula>AV35="0"</formula>
    </cfRule>
  </conditionalFormatting>
  <conditionalFormatting sqref="H35">
    <cfRule type="expression" dxfId="1030" priority="1020" stopIfTrue="1">
      <formula>AND(NOT($C35=""),H35="")</formula>
    </cfRule>
    <cfRule type="expression" dxfId="1029" priority="1021" stopIfTrue="1">
      <formula>BA35="0"</formula>
    </cfRule>
  </conditionalFormatting>
  <conditionalFormatting sqref="I35">
    <cfRule type="expression" dxfId="1028" priority="1018" stopIfTrue="1">
      <formula>AND(NOT($C35=""),I35="")</formula>
    </cfRule>
    <cfRule type="expression" dxfId="1027" priority="1019" stopIfTrue="1">
      <formula>BF35="0"</formula>
    </cfRule>
  </conditionalFormatting>
  <conditionalFormatting sqref="J35">
    <cfRule type="expression" dxfId="1026" priority="1016" stopIfTrue="1">
      <formula>AND(NOT($C35=""),J35="")</formula>
    </cfRule>
    <cfRule type="expression" dxfId="1025" priority="1017" stopIfTrue="1">
      <formula>BK35="0"</formula>
    </cfRule>
  </conditionalFormatting>
  <conditionalFormatting sqref="K35">
    <cfRule type="expression" dxfId="1024" priority="1014" stopIfTrue="1">
      <formula>AND(NOT($C35=""),K35="")</formula>
    </cfRule>
    <cfRule type="expression" dxfId="1023" priority="1015" stopIfTrue="1">
      <formula>BP35="0"</formula>
    </cfRule>
  </conditionalFormatting>
  <conditionalFormatting sqref="L35">
    <cfRule type="expression" dxfId="1022" priority="1012" stopIfTrue="1">
      <formula>AND(NOT($C35=""),L35="")</formula>
    </cfRule>
    <cfRule type="expression" dxfId="1021" priority="1013" stopIfTrue="1">
      <formula>BU35="0"</formula>
    </cfRule>
  </conditionalFormatting>
  <conditionalFormatting sqref="N35">
    <cfRule type="expression" dxfId="1020" priority="1010" stopIfTrue="1">
      <formula>AND(NOT($C35=""),N35="")</formula>
    </cfRule>
    <cfRule type="expression" dxfId="1019" priority="1011" stopIfTrue="1">
      <formula>CE35="0"</formula>
    </cfRule>
  </conditionalFormatting>
  <conditionalFormatting sqref="M35">
    <cfRule type="expression" dxfId="1018" priority="1009" stopIfTrue="1">
      <formula>BZ35="0"</formula>
    </cfRule>
  </conditionalFormatting>
  <conditionalFormatting sqref="D35">
    <cfRule type="expression" dxfId="1017" priority="1007" stopIfTrue="1">
      <formula>AND(NOT($C35=""),D35="")</formula>
    </cfRule>
    <cfRule type="expression" dxfId="1016" priority="1008" stopIfTrue="1">
      <formula>AG35="0"</formula>
    </cfRule>
  </conditionalFormatting>
  <conditionalFormatting sqref="E35">
    <cfRule type="expression" dxfId="1015" priority="1005" stopIfTrue="1">
      <formula>AND(NOT($C35=""),E35="")</formula>
    </cfRule>
    <cfRule type="expression" dxfId="1014" priority="1006" stopIfTrue="1">
      <formula>AL35="0"</formula>
    </cfRule>
  </conditionalFormatting>
  <conditionalFormatting sqref="F35">
    <cfRule type="expression" dxfId="1013" priority="1003" stopIfTrue="1">
      <formula>AND(NOT($C35=""),F35="")</formula>
    </cfRule>
    <cfRule type="expression" dxfId="1012" priority="1004" stopIfTrue="1">
      <formula>AQ35="0"</formula>
    </cfRule>
  </conditionalFormatting>
  <conditionalFormatting sqref="G35">
    <cfRule type="expression" dxfId="1011" priority="1001" stopIfTrue="1">
      <formula>AND(NOT($C35=""),G35="")</formula>
    </cfRule>
    <cfRule type="expression" dxfId="1010" priority="1002" stopIfTrue="1">
      <formula>AV35="0"</formula>
    </cfRule>
  </conditionalFormatting>
  <conditionalFormatting sqref="H35">
    <cfRule type="expression" dxfId="1009" priority="999" stopIfTrue="1">
      <formula>AND(NOT($C35=""),H35="")</formula>
    </cfRule>
    <cfRule type="expression" dxfId="1008" priority="1000" stopIfTrue="1">
      <formula>BA35="0"</formula>
    </cfRule>
  </conditionalFormatting>
  <conditionalFormatting sqref="I35">
    <cfRule type="expression" dxfId="1007" priority="997" stopIfTrue="1">
      <formula>AND(NOT($C35=""),I35="")</formula>
    </cfRule>
    <cfRule type="expression" dxfId="1006" priority="998" stopIfTrue="1">
      <formula>BF35="0"</formula>
    </cfRule>
  </conditionalFormatting>
  <conditionalFormatting sqref="J35">
    <cfRule type="expression" dxfId="1005" priority="995" stopIfTrue="1">
      <formula>AND(NOT($C35=""),J35="")</formula>
    </cfRule>
    <cfRule type="expression" dxfId="1004" priority="996" stopIfTrue="1">
      <formula>BK35="0"</formula>
    </cfRule>
  </conditionalFormatting>
  <conditionalFormatting sqref="K35">
    <cfRule type="expression" dxfId="1003" priority="993" stopIfTrue="1">
      <formula>AND(NOT($C35=""),K35="")</formula>
    </cfRule>
    <cfRule type="expression" dxfId="1002" priority="994" stopIfTrue="1">
      <formula>BP35="0"</formula>
    </cfRule>
  </conditionalFormatting>
  <conditionalFormatting sqref="L35">
    <cfRule type="expression" dxfId="1001" priority="991" stopIfTrue="1">
      <formula>AND(NOT($C35=""),L35="")</formula>
    </cfRule>
    <cfRule type="expression" dxfId="1000" priority="992" stopIfTrue="1">
      <formula>BU35="0"</formula>
    </cfRule>
  </conditionalFormatting>
  <conditionalFormatting sqref="N35">
    <cfRule type="expression" dxfId="999" priority="989" stopIfTrue="1">
      <formula>AND(NOT($C35=""),N35="")</formula>
    </cfRule>
    <cfRule type="expression" dxfId="998" priority="990" stopIfTrue="1">
      <formula>CE35="0"</formula>
    </cfRule>
  </conditionalFormatting>
  <conditionalFormatting sqref="M35">
    <cfRule type="expression" dxfId="997" priority="988" stopIfTrue="1">
      <formula>BZ35="0"</formula>
    </cfRule>
  </conditionalFormatting>
  <conditionalFormatting sqref="D35">
    <cfRule type="expression" dxfId="996" priority="986" stopIfTrue="1">
      <formula>AND(NOT($C35=""),D35="")</formula>
    </cfRule>
    <cfRule type="expression" dxfId="995" priority="987" stopIfTrue="1">
      <formula>AG35="0"</formula>
    </cfRule>
  </conditionalFormatting>
  <conditionalFormatting sqref="E35">
    <cfRule type="expression" dxfId="994" priority="984" stopIfTrue="1">
      <formula>AND(NOT($C35=""),E35="")</formula>
    </cfRule>
    <cfRule type="expression" dxfId="993" priority="985" stopIfTrue="1">
      <formula>AL35="0"</formula>
    </cfRule>
  </conditionalFormatting>
  <conditionalFormatting sqref="F35">
    <cfRule type="expression" dxfId="992" priority="982" stopIfTrue="1">
      <formula>AND(NOT($C35=""),F35="")</formula>
    </cfRule>
    <cfRule type="expression" dxfId="991" priority="983" stopIfTrue="1">
      <formula>AQ35="0"</formula>
    </cfRule>
  </conditionalFormatting>
  <conditionalFormatting sqref="G35">
    <cfRule type="expression" dxfId="990" priority="980" stopIfTrue="1">
      <formula>AND(NOT($C35=""),G35="")</formula>
    </cfRule>
    <cfRule type="expression" dxfId="989" priority="981" stopIfTrue="1">
      <formula>AV35="0"</formula>
    </cfRule>
  </conditionalFormatting>
  <conditionalFormatting sqref="H35">
    <cfRule type="expression" dxfId="988" priority="978" stopIfTrue="1">
      <formula>AND(NOT($C35=""),H35="")</formula>
    </cfRule>
    <cfRule type="expression" dxfId="987" priority="979" stopIfTrue="1">
      <formula>BA35="0"</formula>
    </cfRule>
  </conditionalFormatting>
  <conditionalFormatting sqref="I35">
    <cfRule type="expression" dxfId="986" priority="976" stopIfTrue="1">
      <formula>AND(NOT($C35=""),I35="")</formula>
    </cfRule>
    <cfRule type="expression" dxfId="985" priority="977" stopIfTrue="1">
      <formula>BF35="0"</formula>
    </cfRule>
  </conditionalFormatting>
  <conditionalFormatting sqref="J35">
    <cfRule type="expression" dxfId="984" priority="974" stopIfTrue="1">
      <formula>AND(NOT($C35=""),J35="")</formula>
    </cfRule>
    <cfRule type="expression" dxfId="983" priority="975" stopIfTrue="1">
      <formula>BK35="0"</formula>
    </cfRule>
  </conditionalFormatting>
  <conditionalFormatting sqref="K35">
    <cfRule type="expression" dxfId="982" priority="972" stopIfTrue="1">
      <formula>AND(NOT($C35=""),K35="")</formula>
    </cfRule>
    <cfRule type="expression" dxfId="981" priority="973" stopIfTrue="1">
      <formula>BP35="0"</formula>
    </cfRule>
  </conditionalFormatting>
  <conditionalFormatting sqref="L35">
    <cfRule type="expression" dxfId="980" priority="970" stopIfTrue="1">
      <formula>AND(NOT($C35=""),L35="")</formula>
    </cfRule>
    <cfRule type="expression" dxfId="979" priority="971" stopIfTrue="1">
      <formula>BU35="0"</formula>
    </cfRule>
  </conditionalFormatting>
  <conditionalFormatting sqref="N35">
    <cfRule type="expression" dxfId="978" priority="968" stopIfTrue="1">
      <formula>AND(NOT($C35=""),N35="")</formula>
    </cfRule>
    <cfRule type="expression" dxfId="977" priority="969" stopIfTrue="1">
      <formula>CE35="0"</formula>
    </cfRule>
  </conditionalFormatting>
  <conditionalFormatting sqref="M35">
    <cfRule type="expression" dxfId="976" priority="967" stopIfTrue="1">
      <formula>BZ35="0"</formula>
    </cfRule>
  </conditionalFormatting>
  <conditionalFormatting sqref="D35">
    <cfRule type="expression" dxfId="975" priority="965" stopIfTrue="1">
      <formula>AND(NOT($C35=""),D35="")</formula>
    </cfRule>
    <cfRule type="expression" dxfId="974" priority="966" stopIfTrue="1">
      <formula>AG35="0"</formula>
    </cfRule>
  </conditionalFormatting>
  <conditionalFormatting sqref="E35">
    <cfRule type="expression" dxfId="973" priority="963" stopIfTrue="1">
      <formula>AND(NOT($C35=""),E35="")</formula>
    </cfRule>
    <cfRule type="expression" dxfId="972" priority="964" stopIfTrue="1">
      <formula>AL35="0"</formula>
    </cfRule>
  </conditionalFormatting>
  <conditionalFormatting sqref="F35">
    <cfRule type="expression" dxfId="971" priority="961" stopIfTrue="1">
      <formula>AND(NOT($C35=""),F35="")</formula>
    </cfRule>
    <cfRule type="expression" dxfId="970" priority="962" stopIfTrue="1">
      <formula>AQ35="0"</formula>
    </cfRule>
  </conditionalFormatting>
  <conditionalFormatting sqref="G35">
    <cfRule type="expression" dxfId="969" priority="959" stopIfTrue="1">
      <formula>AND(NOT($C35=""),G35="")</formula>
    </cfRule>
    <cfRule type="expression" dxfId="968" priority="960" stopIfTrue="1">
      <formula>AV35="0"</formula>
    </cfRule>
  </conditionalFormatting>
  <conditionalFormatting sqref="H35">
    <cfRule type="expression" dxfId="967" priority="957" stopIfTrue="1">
      <formula>AND(NOT($C35=""),H35="")</formula>
    </cfRule>
    <cfRule type="expression" dxfId="966" priority="958" stopIfTrue="1">
      <formula>BA35="0"</formula>
    </cfRule>
  </conditionalFormatting>
  <conditionalFormatting sqref="I35">
    <cfRule type="expression" dxfId="965" priority="955" stopIfTrue="1">
      <formula>AND(NOT($C35=""),I35="")</formula>
    </cfRule>
    <cfRule type="expression" dxfId="964" priority="956" stopIfTrue="1">
      <formula>BF35="0"</formula>
    </cfRule>
  </conditionalFormatting>
  <conditionalFormatting sqref="J35">
    <cfRule type="expression" dxfId="963" priority="953" stopIfTrue="1">
      <formula>AND(NOT($C35=""),J35="")</formula>
    </cfRule>
    <cfRule type="expression" dxfId="962" priority="954" stopIfTrue="1">
      <formula>BK35="0"</formula>
    </cfRule>
  </conditionalFormatting>
  <conditionalFormatting sqref="K35">
    <cfRule type="expression" dxfId="961" priority="951" stopIfTrue="1">
      <formula>AND(NOT($C35=""),K35="")</formula>
    </cfRule>
    <cfRule type="expression" dxfId="960" priority="952" stopIfTrue="1">
      <formula>BP35="0"</formula>
    </cfRule>
  </conditionalFormatting>
  <conditionalFormatting sqref="L35">
    <cfRule type="expression" dxfId="959" priority="949" stopIfTrue="1">
      <formula>AND(NOT($C35=""),L35="")</formula>
    </cfRule>
    <cfRule type="expression" dxfId="958" priority="950" stopIfTrue="1">
      <formula>BU35="0"</formula>
    </cfRule>
  </conditionalFormatting>
  <conditionalFormatting sqref="N35">
    <cfRule type="expression" dxfId="957" priority="947" stopIfTrue="1">
      <formula>AND(NOT($C35=""),N35="")</formula>
    </cfRule>
    <cfRule type="expression" dxfId="956" priority="948" stopIfTrue="1">
      <formula>CE35="0"</formula>
    </cfRule>
  </conditionalFormatting>
  <conditionalFormatting sqref="M35">
    <cfRule type="expression" dxfId="955" priority="946" stopIfTrue="1">
      <formula>BZ35="0"</formula>
    </cfRule>
  </conditionalFormatting>
  <conditionalFormatting sqref="D35">
    <cfRule type="expression" dxfId="954" priority="944" stopIfTrue="1">
      <formula>AND(NOT($C35=""),D35="")</formula>
    </cfRule>
    <cfRule type="expression" dxfId="953" priority="945" stopIfTrue="1">
      <formula>AG35="0"</formula>
    </cfRule>
  </conditionalFormatting>
  <conditionalFormatting sqref="E35">
    <cfRule type="expression" dxfId="952" priority="942" stopIfTrue="1">
      <formula>AND(NOT($C35=""),E35="")</formula>
    </cfRule>
    <cfRule type="expression" dxfId="951" priority="943" stopIfTrue="1">
      <formula>AL35="0"</formula>
    </cfRule>
  </conditionalFormatting>
  <conditionalFormatting sqref="F35">
    <cfRule type="expression" dxfId="950" priority="940" stopIfTrue="1">
      <formula>AND(NOT($C35=""),F35="")</formula>
    </cfRule>
    <cfRule type="expression" dxfId="949" priority="941" stopIfTrue="1">
      <formula>AQ35="0"</formula>
    </cfRule>
  </conditionalFormatting>
  <conditionalFormatting sqref="G35">
    <cfRule type="expression" dxfId="948" priority="938" stopIfTrue="1">
      <formula>AND(NOT($C35=""),G35="")</formula>
    </cfRule>
    <cfRule type="expression" dxfId="947" priority="939" stopIfTrue="1">
      <formula>AV35="0"</formula>
    </cfRule>
  </conditionalFormatting>
  <conditionalFormatting sqref="H35">
    <cfRule type="expression" dxfId="946" priority="936" stopIfTrue="1">
      <formula>AND(NOT($C35=""),H35="")</formula>
    </cfRule>
    <cfRule type="expression" dxfId="945" priority="937" stopIfTrue="1">
      <formula>BA35="0"</formula>
    </cfRule>
  </conditionalFormatting>
  <conditionalFormatting sqref="I35">
    <cfRule type="expression" dxfId="944" priority="934" stopIfTrue="1">
      <formula>AND(NOT($C35=""),I35="")</formula>
    </cfRule>
    <cfRule type="expression" dxfId="943" priority="935" stopIfTrue="1">
      <formula>BF35="0"</formula>
    </cfRule>
  </conditionalFormatting>
  <conditionalFormatting sqref="J35">
    <cfRule type="expression" dxfId="942" priority="932" stopIfTrue="1">
      <formula>AND(NOT($C35=""),J35="")</formula>
    </cfRule>
    <cfRule type="expression" dxfId="941" priority="933" stopIfTrue="1">
      <formula>BK35="0"</formula>
    </cfRule>
  </conditionalFormatting>
  <conditionalFormatting sqref="K35">
    <cfRule type="expression" dxfId="940" priority="930" stopIfTrue="1">
      <formula>AND(NOT($C35=""),K35="")</formula>
    </cfRule>
    <cfRule type="expression" dxfId="939" priority="931" stopIfTrue="1">
      <formula>BP35="0"</formula>
    </cfRule>
  </conditionalFormatting>
  <conditionalFormatting sqref="L35">
    <cfRule type="expression" dxfId="938" priority="928" stopIfTrue="1">
      <formula>AND(NOT($C35=""),L35="")</formula>
    </cfRule>
    <cfRule type="expression" dxfId="937" priority="929" stopIfTrue="1">
      <formula>BU35="0"</formula>
    </cfRule>
  </conditionalFormatting>
  <conditionalFormatting sqref="N35">
    <cfRule type="expression" dxfId="936" priority="926" stopIfTrue="1">
      <formula>AND(NOT($C35=""),N35="")</formula>
    </cfRule>
    <cfRule type="expression" dxfId="935" priority="927" stopIfTrue="1">
      <formula>CE35="0"</formula>
    </cfRule>
  </conditionalFormatting>
  <conditionalFormatting sqref="M35">
    <cfRule type="expression" dxfId="934" priority="925" stopIfTrue="1">
      <formula>BZ35="0"</formula>
    </cfRule>
  </conditionalFormatting>
  <conditionalFormatting sqref="D35">
    <cfRule type="expression" dxfId="933" priority="923" stopIfTrue="1">
      <formula>AND(NOT($C35=""),D35="")</formula>
    </cfRule>
    <cfRule type="expression" dxfId="932" priority="924" stopIfTrue="1">
      <formula>AG35="0"</formula>
    </cfRule>
  </conditionalFormatting>
  <conditionalFormatting sqref="E35">
    <cfRule type="expression" dxfId="931" priority="921" stopIfTrue="1">
      <formula>AND(NOT($C35=""),E35="")</formula>
    </cfRule>
    <cfRule type="expression" dxfId="930" priority="922" stopIfTrue="1">
      <formula>AL35="0"</formula>
    </cfRule>
  </conditionalFormatting>
  <conditionalFormatting sqref="F35">
    <cfRule type="expression" dxfId="929" priority="919" stopIfTrue="1">
      <formula>AND(NOT($C35=""),F35="")</formula>
    </cfRule>
    <cfRule type="expression" dxfId="928" priority="920" stopIfTrue="1">
      <formula>AQ35="0"</formula>
    </cfRule>
  </conditionalFormatting>
  <conditionalFormatting sqref="G35">
    <cfRule type="expression" dxfId="927" priority="917" stopIfTrue="1">
      <formula>AND(NOT($C35=""),G35="")</formula>
    </cfRule>
    <cfRule type="expression" dxfId="926" priority="918" stopIfTrue="1">
      <formula>AV35="0"</formula>
    </cfRule>
  </conditionalFormatting>
  <conditionalFormatting sqref="H35">
    <cfRule type="expression" dxfId="925" priority="915" stopIfTrue="1">
      <formula>AND(NOT($C35=""),H35="")</formula>
    </cfRule>
    <cfRule type="expression" dxfId="924" priority="916" stopIfTrue="1">
      <formula>BA35="0"</formula>
    </cfRule>
  </conditionalFormatting>
  <conditionalFormatting sqref="I35">
    <cfRule type="expression" dxfId="923" priority="913" stopIfTrue="1">
      <formula>AND(NOT($C35=""),I35="")</formula>
    </cfRule>
    <cfRule type="expression" dxfId="922" priority="914" stopIfTrue="1">
      <formula>BF35="0"</formula>
    </cfRule>
  </conditionalFormatting>
  <conditionalFormatting sqref="J35">
    <cfRule type="expression" dxfId="921" priority="911" stopIfTrue="1">
      <formula>AND(NOT($C35=""),J35="")</formula>
    </cfRule>
    <cfRule type="expression" dxfId="920" priority="912" stopIfTrue="1">
      <formula>BK35="0"</formula>
    </cfRule>
  </conditionalFormatting>
  <conditionalFormatting sqref="K35">
    <cfRule type="expression" dxfId="919" priority="909" stopIfTrue="1">
      <formula>AND(NOT($C35=""),K35="")</formula>
    </cfRule>
    <cfRule type="expression" dxfId="918" priority="910" stopIfTrue="1">
      <formula>BP35="0"</formula>
    </cfRule>
  </conditionalFormatting>
  <conditionalFormatting sqref="L35">
    <cfRule type="expression" dxfId="917" priority="907" stopIfTrue="1">
      <formula>AND(NOT($C35=""),L35="")</formula>
    </cfRule>
    <cfRule type="expression" dxfId="916" priority="908" stopIfTrue="1">
      <formula>BU35="0"</formula>
    </cfRule>
  </conditionalFormatting>
  <conditionalFormatting sqref="N35">
    <cfRule type="expression" dxfId="915" priority="905" stopIfTrue="1">
      <formula>AND(NOT($C35=""),N35="")</formula>
    </cfRule>
    <cfRule type="expression" dxfId="914" priority="906" stopIfTrue="1">
      <formula>CE35="0"</formula>
    </cfRule>
  </conditionalFormatting>
  <conditionalFormatting sqref="M35">
    <cfRule type="expression" dxfId="913" priority="904" stopIfTrue="1">
      <formula>BZ35="0"</formula>
    </cfRule>
  </conditionalFormatting>
  <conditionalFormatting sqref="D35">
    <cfRule type="expression" dxfId="912" priority="902" stopIfTrue="1">
      <formula>AND(NOT($C35=""),D35="")</formula>
    </cfRule>
    <cfRule type="expression" dxfId="911" priority="903" stopIfTrue="1">
      <formula>AG35="0"</formula>
    </cfRule>
  </conditionalFormatting>
  <conditionalFormatting sqref="E35">
    <cfRule type="expression" dxfId="910" priority="900" stopIfTrue="1">
      <formula>AND(NOT($C35=""),E35="")</formula>
    </cfRule>
    <cfRule type="expression" dxfId="909" priority="901" stopIfTrue="1">
      <formula>AL35="0"</formula>
    </cfRule>
  </conditionalFormatting>
  <conditionalFormatting sqref="F35">
    <cfRule type="expression" dxfId="908" priority="898" stopIfTrue="1">
      <formula>AND(NOT($C35=""),F35="")</formula>
    </cfRule>
    <cfRule type="expression" dxfId="907" priority="899" stopIfTrue="1">
      <formula>AQ35="0"</formula>
    </cfRule>
  </conditionalFormatting>
  <conditionalFormatting sqref="G35">
    <cfRule type="expression" dxfId="906" priority="896" stopIfTrue="1">
      <formula>AND(NOT($C35=""),G35="")</formula>
    </cfRule>
    <cfRule type="expression" dxfId="905" priority="897" stopIfTrue="1">
      <formula>AV35="0"</formula>
    </cfRule>
  </conditionalFormatting>
  <conditionalFormatting sqref="H35">
    <cfRule type="expression" dxfId="904" priority="894" stopIfTrue="1">
      <formula>AND(NOT($C35=""),H35="")</formula>
    </cfRule>
    <cfRule type="expression" dxfId="903" priority="895" stopIfTrue="1">
      <formula>BA35="0"</formula>
    </cfRule>
  </conditionalFormatting>
  <conditionalFormatting sqref="I35">
    <cfRule type="expression" dxfId="902" priority="892" stopIfTrue="1">
      <formula>AND(NOT($C35=""),I35="")</formula>
    </cfRule>
    <cfRule type="expression" dxfId="901" priority="893" stopIfTrue="1">
      <formula>BF35="0"</formula>
    </cfRule>
  </conditionalFormatting>
  <conditionalFormatting sqref="J35">
    <cfRule type="expression" dxfId="900" priority="890" stopIfTrue="1">
      <formula>AND(NOT($C35=""),J35="")</formula>
    </cfRule>
    <cfRule type="expression" dxfId="899" priority="891" stopIfTrue="1">
      <formula>BK35="0"</formula>
    </cfRule>
  </conditionalFormatting>
  <conditionalFormatting sqref="K35">
    <cfRule type="expression" dxfId="898" priority="888" stopIfTrue="1">
      <formula>AND(NOT($C35=""),K35="")</formula>
    </cfRule>
    <cfRule type="expression" dxfId="897" priority="889" stopIfTrue="1">
      <formula>BP35="0"</formula>
    </cfRule>
  </conditionalFormatting>
  <conditionalFormatting sqref="L35">
    <cfRule type="expression" dxfId="896" priority="886" stopIfTrue="1">
      <formula>AND(NOT($C35=""),L35="")</formula>
    </cfRule>
    <cfRule type="expression" dxfId="895" priority="887" stopIfTrue="1">
      <formula>BU35="0"</formula>
    </cfRule>
  </conditionalFormatting>
  <conditionalFormatting sqref="N35">
    <cfRule type="expression" dxfId="894" priority="884" stopIfTrue="1">
      <formula>AND(NOT($C35=""),N35="")</formula>
    </cfRule>
    <cfRule type="expression" dxfId="893" priority="885" stopIfTrue="1">
      <formula>CE35="0"</formula>
    </cfRule>
  </conditionalFormatting>
  <conditionalFormatting sqref="M35">
    <cfRule type="expression" dxfId="892" priority="883" stopIfTrue="1">
      <formula>BZ35="0"</formula>
    </cfRule>
  </conditionalFormatting>
  <conditionalFormatting sqref="D35">
    <cfRule type="expression" dxfId="891" priority="881" stopIfTrue="1">
      <formula>AND(NOT($C35=""),D35="")</formula>
    </cfRule>
    <cfRule type="expression" dxfId="890" priority="882" stopIfTrue="1">
      <formula>AG35="0"</formula>
    </cfRule>
  </conditionalFormatting>
  <conditionalFormatting sqref="E35">
    <cfRule type="expression" dxfId="889" priority="879" stopIfTrue="1">
      <formula>AND(NOT($C35=""),E35="")</formula>
    </cfRule>
    <cfRule type="expression" dxfId="888" priority="880" stopIfTrue="1">
      <formula>AL35="0"</formula>
    </cfRule>
  </conditionalFormatting>
  <conditionalFormatting sqref="F35">
    <cfRule type="expression" dxfId="887" priority="877" stopIfTrue="1">
      <formula>AND(NOT($C35=""),F35="")</formula>
    </cfRule>
    <cfRule type="expression" dxfId="886" priority="878" stopIfTrue="1">
      <formula>AQ35="0"</formula>
    </cfRule>
  </conditionalFormatting>
  <conditionalFormatting sqref="G35">
    <cfRule type="expression" dxfId="885" priority="875" stopIfTrue="1">
      <formula>AND(NOT($C35=""),G35="")</formula>
    </cfRule>
    <cfRule type="expression" dxfId="884" priority="876" stopIfTrue="1">
      <formula>AV35="0"</formula>
    </cfRule>
  </conditionalFormatting>
  <conditionalFormatting sqref="H35">
    <cfRule type="expression" dxfId="883" priority="873" stopIfTrue="1">
      <formula>AND(NOT($C35=""),H35="")</formula>
    </cfRule>
    <cfRule type="expression" dxfId="882" priority="874" stopIfTrue="1">
      <formula>BA35="0"</formula>
    </cfRule>
  </conditionalFormatting>
  <conditionalFormatting sqref="I35">
    <cfRule type="expression" dxfId="881" priority="871" stopIfTrue="1">
      <formula>AND(NOT($C35=""),I35="")</formula>
    </cfRule>
    <cfRule type="expression" dxfId="880" priority="872" stopIfTrue="1">
      <formula>BF35="0"</formula>
    </cfRule>
  </conditionalFormatting>
  <conditionalFormatting sqref="J35">
    <cfRule type="expression" dxfId="879" priority="869" stopIfTrue="1">
      <formula>AND(NOT($C35=""),J35="")</formula>
    </cfRule>
    <cfRule type="expression" dxfId="878" priority="870" stopIfTrue="1">
      <formula>BK35="0"</formula>
    </cfRule>
  </conditionalFormatting>
  <conditionalFormatting sqref="K35">
    <cfRule type="expression" dxfId="877" priority="867" stopIfTrue="1">
      <formula>AND(NOT($C35=""),K35="")</formula>
    </cfRule>
    <cfRule type="expression" dxfId="876" priority="868" stopIfTrue="1">
      <formula>BP35="0"</formula>
    </cfRule>
  </conditionalFormatting>
  <conditionalFormatting sqref="L35">
    <cfRule type="expression" dxfId="875" priority="865" stopIfTrue="1">
      <formula>AND(NOT($C35=""),L35="")</formula>
    </cfRule>
    <cfRule type="expression" dxfId="874" priority="866" stopIfTrue="1">
      <formula>BU35="0"</formula>
    </cfRule>
  </conditionalFormatting>
  <conditionalFormatting sqref="N35">
    <cfRule type="expression" dxfId="873" priority="863" stopIfTrue="1">
      <formula>AND(NOT($C35=""),N35="")</formula>
    </cfRule>
    <cfRule type="expression" dxfId="872" priority="864" stopIfTrue="1">
      <formula>CE35="0"</formula>
    </cfRule>
  </conditionalFormatting>
  <conditionalFormatting sqref="M35">
    <cfRule type="expression" dxfId="871" priority="862" stopIfTrue="1">
      <formula>BZ35="0"</formula>
    </cfRule>
  </conditionalFormatting>
  <conditionalFormatting sqref="D35">
    <cfRule type="expression" dxfId="870" priority="860" stopIfTrue="1">
      <formula>AND(NOT($C35=""),D35="")</formula>
    </cfRule>
    <cfRule type="expression" dxfId="869" priority="861" stopIfTrue="1">
      <formula>AG35="0"</formula>
    </cfRule>
  </conditionalFormatting>
  <conditionalFormatting sqref="E35">
    <cfRule type="expression" dxfId="868" priority="858" stopIfTrue="1">
      <formula>AND(NOT($C35=""),E35="")</formula>
    </cfRule>
    <cfRule type="expression" dxfId="867" priority="859" stopIfTrue="1">
      <formula>AL35="0"</formula>
    </cfRule>
  </conditionalFormatting>
  <conditionalFormatting sqref="F35">
    <cfRule type="expression" dxfId="866" priority="856" stopIfTrue="1">
      <formula>AND(NOT($C35=""),F35="")</formula>
    </cfRule>
    <cfRule type="expression" dxfId="865" priority="857" stopIfTrue="1">
      <formula>AQ35="0"</formula>
    </cfRule>
  </conditionalFormatting>
  <conditionalFormatting sqref="G35">
    <cfRule type="expression" dxfId="864" priority="854" stopIfTrue="1">
      <formula>AND(NOT($C35=""),G35="")</formula>
    </cfRule>
    <cfRule type="expression" dxfId="863" priority="855" stopIfTrue="1">
      <formula>AV35="0"</formula>
    </cfRule>
  </conditionalFormatting>
  <conditionalFormatting sqref="H35">
    <cfRule type="expression" dxfId="862" priority="852" stopIfTrue="1">
      <formula>AND(NOT($C35=""),H35="")</formula>
    </cfRule>
    <cfRule type="expression" dxfId="861" priority="853" stopIfTrue="1">
      <formula>BA35="0"</formula>
    </cfRule>
  </conditionalFormatting>
  <conditionalFormatting sqref="I35">
    <cfRule type="expression" dxfId="860" priority="850" stopIfTrue="1">
      <formula>AND(NOT($C35=""),I35="")</formula>
    </cfRule>
    <cfRule type="expression" dxfId="859" priority="851" stopIfTrue="1">
      <formula>BF35="0"</formula>
    </cfRule>
  </conditionalFormatting>
  <conditionalFormatting sqref="J35">
    <cfRule type="expression" dxfId="858" priority="848" stopIfTrue="1">
      <formula>AND(NOT($C35=""),J35="")</formula>
    </cfRule>
    <cfRule type="expression" dxfId="857" priority="849" stopIfTrue="1">
      <formula>BK35="0"</formula>
    </cfRule>
  </conditionalFormatting>
  <conditionalFormatting sqref="K35">
    <cfRule type="expression" dxfId="856" priority="846" stopIfTrue="1">
      <formula>AND(NOT($C35=""),K35="")</formula>
    </cfRule>
    <cfRule type="expression" dxfId="855" priority="847" stopIfTrue="1">
      <formula>BP35="0"</formula>
    </cfRule>
  </conditionalFormatting>
  <conditionalFormatting sqref="L35">
    <cfRule type="expression" dxfId="854" priority="844" stopIfTrue="1">
      <formula>AND(NOT($C35=""),L35="")</formula>
    </cfRule>
    <cfRule type="expression" dxfId="853" priority="845" stopIfTrue="1">
      <formula>BU35="0"</formula>
    </cfRule>
  </conditionalFormatting>
  <conditionalFormatting sqref="N35">
    <cfRule type="expression" dxfId="852" priority="842" stopIfTrue="1">
      <formula>AND(NOT($C35=""),N35="")</formula>
    </cfRule>
    <cfRule type="expression" dxfId="851" priority="843" stopIfTrue="1">
      <formula>CE35="0"</formula>
    </cfRule>
  </conditionalFormatting>
  <conditionalFormatting sqref="M35">
    <cfRule type="expression" dxfId="850" priority="841" stopIfTrue="1">
      <formula>BZ35="0"</formula>
    </cfRule>
  </conditionalFormatting>
  <conditionalFormatting sqref="D35">
    <cfRule type="expression" dxfId="849" priority="839" stopIfTrue="1">
      <formula>AND(NOT($C35=""),D35="")</formula>
    </cfRule>
    <cfRule type="expression" dxfId="848" priority="840" stopIfTrue="1">
      <formula>AG35="0"</formula>
    </cfRule>
  </conditionalFormatting>
  <conditionalFormatting sqref="E35">
    <cfRule type="expression" dxfId="847" priority="837" stopIfTrue="1">
      <formula>AND(NOT($C35=""),E35="")</formula>
    </cfRule>
    <cfRule type="expression" dxfId="846" priority="838" stopIfTrue="1">
      <formula>AL35="0"</formula>
    </cfRule>
  </conditionalFormatting>
  <conditionalFormatting sqref="F35">
    <cfRule type="expression" dxfId="845" priority="835" stopIfTrue="1">
      <formula>AND(NOT($C35=""),F35="")</formula>
    </cfRule>
    <cfRule type="expression" dxfId="844" priority="836" stopIfTrue="1">
      <formula>AQ35="0"</formula>
    </cfRule>
  </conditionalFormatting>
  <conditionalFormatting sqref="G35">
    <cfRule type="expression" dxfId="843" priority="833" stopIfTrue="1">
      <formula>AND(NOT($C35=""),G35="")</formula>
    </cfRule>
    <cfRule type="expression" dxfId="842" priority="834" stopIfTrue="1">
      <formula>AV35="0"</formula>
    </cfRule>
  </conditionalFormatting>
  <conditionalFormatting sqref="H35">
    <cfRule type="expression" dxfId="841" priority="831" stopIfTrue="1">
      <formula>AND(NOT($C35=""),H35="")</formula>
    </cfRule>
    <cfRule type="expression" dxfId="840" priority="832" stopIfTrue="1">
      <formula>BA35="0"</formula>
    </cfRule>
  </conditionalFormatting>
  <conditionalFormatting sqref="I35">
    <cfRule type="expression" dxfId="839" priority="829" stopIfTrue="1">
      <formula>AND(NOT($C35=""),I35="")</formula>
    </cfRule>
    <cfRule type="expression" dxfId="838" priority="830" stopIfTrue="1">
      <formula>BF35="0"</formula>
    </cfRule>
  </conditionalFormatting>
  <conditionalFormatting sqref="J35">
    <cfRule type="expression" dxfId="837" priority="827" stopIfTrue="1">
      <formula>AND(NOT($C35=""),J35="")</formula>
    </cfRule>
    <cfRule type="expression" dxfId="836" priority="828" stopIfTrue="1">
      <formula>BK35="0"</formula>
    </cfRule>
  </conditionalFormatting>
  <conditionalFormatting sqref="K35">
    <cfRule type="expression" dxfId="835" priority="825" stopIfTrue="1">
      <formula>AND(NOT($C35=""),K35="")</formula>
    </cfRule>
    <cfRule type="expression" dxfId="834" priority="826" stopIfTrue="1">
      <formula>BP35="0"</formula>
    </cfRule>
  </conditionalFormatting>
  <conditionalFormatting sqref="L35">
    <cfRule type="expression" dxfId="833" priority="823" stopIfTrue="1">
      <formula>AND(NOT($C35=""),L35="")</formula>
    </cfRule>
    <cfRule type="expression" dxfId="832" priority="824" stopIfTrue="1">
      <formula>BU35="0"</formula>
    </cfRule>
  </conditionalFormatting>
  <conditionalFormatting sqref="N35">
    <cfRule type="expression" dxfId="831" priority="821" stopIfTrue="1">
      <formula>AND(NOT($C35=""),N35="")</formula>
    </cfRule>
    <cfRule type="expression" dxfId="830" priority="822" stopIfTrue="1">
      <formula>CE35="0"</formula>
    </cfRule>
  </conditionalFormatting>
  <conditionalFormatting sqref="M35">
    <cfRule type="expression" dxfId="829" priority="820" stopIfTrue="1">
      <formula>BZ35="0"</formula>
    </cfRule>
  </conditionalFormatting>
  <conditionalFormatting sqref="D35">
    <cfRule type="expression" dxfId="828" priority="818" stopIfTrue="1">
      <formula>AND(NOT($C35=""),D35="")</formula>
    </cfRule>
    <cfRule type="expression" dxfId="827" priority="819" stopIfTrue="1">
      <formula>AG35="0"</formula>
    </cfRule>
  </conditionalFormatting>
  <conditionalFormatting sqref="E35">
    <cfRule type="expression" dxfId="826" priority="816" stopIfTrue="1">
      <formula>AND(NOT($C35=""),E35="")</formula>
    </cfRule>
    <cfRule type="expression" dxfId="825" priority="817" stopIfTrue="1">
      <formula>AL35="0"</formula>
    </cfRule>
  </conditionalFormatting>
  <conditionalFormatting sqref="F35">
    <cfRule type="expression" dxfId="824" priority="814" stopIfTrue="1">
      <formula>AND(NOT($C35=""),F35="")</formula>
    </cfRule>
    <cfRule type="expression" dxfId="823" priority="815" stopIfTrue="1">
      <formula>AQ35="0"</formula>
    </cfRule>
  </conditionalFormatting>
  <conditionalFormatting sqref="G35">
    <cfRule type="expression" dxfId="822" priority="812" stopIfTrue="1">
      <formula>AND(NOT($C35=""),G35="")</formula>
    </cfRule>
    <cfRule type="expression" dxfId="821" priority="813" stopIfTrue="1">
      <formula>AV35="0"</formula>
    </cfRule>
  </conditionalFormatting>
  <conditionalFormatting sqref="H35">
    <cfRule type="expression" dxfId="820" priority="810" stopIfTrue="1">
      <formula>AND(NOT($C35=""),H35="")</formula>
    </cfRule>
    <cfRule type="expression" dxfId="819" priority="811" stopIfTrue="1">
      <formula>BA35="0"</formula>
    </cfRule>
  </conditionalFormatting>
  <conditionalFormatting sqref="I35">
    <cfRule type="expression" dxfId="818" priority="808" stopIfTrue="1">
      <formula>AND(NOT($C35=""),I35="")</formula>
    </cfRule>
    <cfRule type="expression" dxfId="817" priority="809" stopIfTrue="1">
      <formula>BF35="0"</formula>
    </cfRule>
  </conditionalFormatting>
  <conditionalFormatting sqref="J35">
    <cfRule type="expression" dxfId="816" priority="806" stopIfTrue="1">
      <formula>AND(NOT($C35=""),J35="")</formula>
    </cfRule>
    <cfRule type="expression" dxfId="815" priority="807" stopIfTrue="1">
      <formula>BK35="0"</formula>
    </cfRule>
  </conditionalFormatting>
  <conditionalFormatting sqref="K35">
    <cfRule type="expression" dxfId="814" priority="804" stopIfTrue="1">
      <formula>AND(NOT($C35=""),K35="")</formula>
    </cfRule>
    <cfRule type="expression" dxfId="813" priority="805" stopIfTrue="1">
      <formula>BP35="0"</formula>
    </cfRule>
  </conditionalFormatting>
  <conditionalFormatting sqref="L35">
    <cfRule type="expression" dxfId="812" priority="802" stopIfTrue="1">
      <formula>AND(NOT($C35=""),L35="")</formula>
    </cfRule>
    <cfRule type="expression" dxfId="811" priority="803" stopIfTrue="1">
      <formula>BU35="0"</formula>
    </cfRule>
  </conditionalFormatting>
  <conditionalFormatting sqref="N35">
    <cfRule type="expression" dxfId="810" priority="800" stopIfTrue="1">
      <formula>AND(NOT($C35=""),N35="")</formula>
    </cfRule>
    <cfRule type="expression" dxfId="809" priority="801" stopIfTrue="1">
      <formula>CE35="0"</formula>
    </cfRule>
  </conditionalFormatting>
  <conditionalFormatting sqref="M35">
    <cfRule type="expression" dxfId="808" priority="799" stopIfTrue="1">
      <formula>BZ35="0"</formula>
    </cfRule>
  </conditionalFormatting>
  <conditionalFormatting sqref="D35">
    <cfRule type="expression" dxfId="807" priority="797" stopIfTrue="1">
      <formula>AND(NOT($C35=""),D35="")</formula>
    </cfRule>
    <cfRule type="expression" dxfId="806" priority="798" stopIfTrue="1">
      <formula>AG35="0"</formula>
    </cfRule>
  </conditionalFormatting>
  <conditionalFormatting sqref="E35">
    <cfRule type="expression" dxfId="805" priority="795" stopIfTrue="1">
      <formula>AND(NOT($C35=""),E35="")</formula>
    </cfRule>
    <cfRule type="expression" dxfId="804" priority="796" stopIfTrue="1">
      <formula>AL35="0"</formula>
    </cfRule>
  </conditionalFormatting>
  <conditionalFormatting sqref="F35">
    <cfRule type="expression" dxfId="803" priority="793" stopIfTrue="1">
      <formula>AND(NOT($C35=""),F35="")</formula>
    </cfRule>
    <cfRule type="expression" dxfId="802" priority="794" stopIfTrue="1">
      <formula>AQ35="0"</formula>
    </cfRule>
  </conditionalFormatting>
  <conditionalFormatting sqref="G35">
    <cfRule type="expression" dxfId="801" priority="791" stopIfTrue="1">
      <formula>AND(NOT($C35=""),G35="")</formula>
    </cfRule>
    <cfRule type="expression" dxfId="800" priority="792" stopIfTrue="1">
      <formula>AV35="0"</formula>
    </cfRule>
  </conditionalFormatting>
  <conditionalFormatting sqref="H35">
    <cfRule type="expression" dxfId="799" priority="789" stopIfTrue="1">
      <formula>AND(NOT($C35=""),H35="")</formula>
    </cfRule>
    <cfRule type="expression" dxfId="798" priority="790" stopIfTrue="1">
      <formula>BA35="0"</formula>
    </cfRule>
  </conditionalFormatting>
  <conditionalFormatting sqref="I35">
    <cfRule type="expression" dxfId="797" priority="787" stopIfTrue="1">
      <formula>AND(NOT($C35=""),I35="")</formula>
    </cfRule>
    <cfRule type="expression" dxfId="796" priority="788" stopIfTrue="1">
      <formula>BF35="0"</formula>
    </cfRule>
  </conditionalFormatting>
  <conditionalFormatting sqref="J35">
    <cfRule type="expression" dxfId="795" priority="785" stopIfTrue="1">
      <formula>AND(NOT($C35=""),J35="")</formula>
    </cfRule>
    <cfRule type="expression" dxfId="794" priority="786" stopIfTrue="1">
      <formula>BK35="0"</formula>
    </cfRule>
  </conditionalFormatting>
  <conditionalFormatting sqref="K35">
    <cfRule type="expression" dxfId="793" priority="783" stopIfTrue="1">
      <formula>AND(NOT($C35=""),K35="")</formula>
    </cfRule>
    <cfRule type="expression" dxfId="792" priority="784" stopIfTrue="1">
      <formula>BP35="0"</formula>
    </cfRule>
  </conditionalFormatting>
  <conditionalFormatting sqref="L35">
    <cfRule type="expression" dxfId="791" priority="781" stopIfTrue="1">
      <formula>AND(NOT($C35=""),L35="")</formula>
    </cfRule>
    <cfRule type="expression" dxfId="790" priority="782" stopIfTrue="1">
      <formula>BU35="0"</formula>
    </cfRule>
  </conditionalFormatting>
  <conditionalFormatting sqref="N35">
    <cfRule type="expression" dxfId="789" priority="779" stopIfTrue="1">
      <formula>AND(NOT($C35=""),N35="")</formula>
    </cfRule>
    <cfRule type="expression" dxfId="788" priority="780" stopIfTrue="1">
      <formula>CE35="0"</formula>
    </cfRule>
  </conditionalFormatting>
  <conditionalFormatting sqref="M35">
    <cfRule type="expression" dxfId="787" priority="778" stopIfTrue="1">
      <formula>BZ35="0"</formula>
    </cfRule>
  </conditionalFormatting>
  <conditionalFormatting sqref="D35">
    <cfRule type="expression" dxfId="786" priority="776" stopIfTrue="1">
      <formula>AND(NOT($C35=""),D35="")</formula>
    </cfRule>
    <cfRule type="expression" dxfId="785" priority="777" stopIfTrue="1">
      <formula>AG35="0"</formula>
    </cfRule>
  </conditionalFormatting>
  <conditionalFormatting sqref="E35">
    <cfRule type="expression" dxfId="784" priority="774" stopIfTrue="1">
      <formula>AND(NOT($C35=""),E35="")</formula>
    </cfRule>
    <cfRule type="expression" dxfId="783" priority="775" stopIfTrue="1">
      <formula>AL35="0"</formula>
    </cfRule>
  </conditionalFormatting>
  <conditionalFormatting sqref="F35">
    <cfRule type="expression" dxfId="782" priority="772" stopIfTrue="1">
      <formula>AND(NOT($C35=""),F35="")</formula>
    </cfRule>
    <cfRule type="expression" dxfId="781" priority="773" stopIfTrue="1">
      <formula>AQ35="0"</formula>
    </cfRule>
  </conditionalFormatting>
  <conditionalFormatting sqref="G35">
    <cfRule type="expression" dxfId="780" priority="770" stopIfTrue="1">
      <formula>AND(NOT($C35=""),G35="")</formula>
    </cfRule>
    <cfRule type="expression" dxfId="779" priority="771" stopIfTrue="1">
      <formula>AV35="0"</formula>
    </cfRule>
  </conditionalFormatting>
  <conditionalFormatting sqref="H35">
    <cfRule type="expression" dxfId="778" priority="768" stopIfTrue="1">
      <formula>AND(NOT($C35=""),H35="")</formula>
    </cfRule>
    <cfRule type="expression" dxfId="777" priority="769" stopIfTrue="1">
      <formula>BA35="0"</formula>
    </cfRule>
  </conditionalFormatting>
  <conditionalFormatting sqref="I35">
    <cfRule type="expression" dxfId="776" priority="766" stopIfTrue="1">
      <formula>AND(NOT($C35=""),I35="")</formula>
    </cfRule>
    <cfRule type="expression" dxfId="775" priority="767" stopIfTrue="1">
      <formula>BF35="0"</formula>
    </cfRule>
  </conditionalFormatting>
  <conditionalFormatting sqref="J35">
    <cfRule type="expression" dxfId="774" priority="764" stopIfTrue="1">
      <formula>AND(NOT($C35=""),J35="")</formula>
    </cfRule>
    <cfRule type="expression" dxfId="773" priority="765" stopIfTrue="1">
      <formula>BK35="0"</formula>
    </cfRule>
  </conditionalFormatting>
  <conditionalFormatting sqref="K35">
    <cfRule type="expression" dxfId="772" priority="762" stopIfTrue="1">
      <formula>AND(NOT($C35=""),K35="")</formula>
    </cfRule>
    <cfRule type="expression" dxfId="771" priority="763" stopIfTrue="1">
      <formula>BP35="0"</formula>
    </cfRule>
  </conditionalFormatting>
  <conditionalFormatting sqref="L35">
    <cfRule type="expression" dxfId="770" priority="760" stopIfTrue="1">
      <formula>AND(NOT($C35=""),L35="")</formula>
    </cfRule>
    <cfRule type="expression" dxfId="769" priority="761" stopIfTrue="1">
      <formula>BU35="0"</formula>
    </cfRule>
  </conditionalFormatting>
  <conditionalFormatting sqref="N35">
    <cfRule type="expression" dxfId="768" priority="758" stopIfTrue="1">
      <formula>AND(NOT($C35=""),N35="")</formula>
    </cfRule>
    <cfRule type="expression" dxfId="767" priority="759" stopIfTrue="1">
      <formula>CE35="0"</formula>
    </cfRule>
  </conditionalFormatting>
  <conditionalFormatting sqref="M35">
    <cfRule type="expression" dxfId="766" priority="757" stopIfTrue="1">
      <formula>BZ35="0"</formula>
    </cfRule>
  </conditionalFormatting>
  <conditionalFormatting sqref="D35">
    <cfRule type="expression" dxfId="765" priority="755" stopIfTrue="1">
      <formula>AND(NOT($C35=""),D35="")</formula>
    </cfRule>
    <cfRule type="expression" dxfId="764" priority="756" stopIfTrue="1">
      <formula>AG35="0"</formula>
    </cfRule>
  </conditionalFormatting>
  <conditionalFormatting sqref="E35">
    <cfRule type="expression" dxfId="763" priority="753" stopIfTrue="1">
      <formula>AND(NOT($C35=""),E35="")</formula>
    </cfRule>
    <cfRule type="expression" dxfId="762" priority="754" stopIfTrue="1">
      <formula>AL35="0"</formula>
    </cfRule>
  </conditionalFormatting>
  <conditionalFormatting sqref="F35">
    <cfRule type="expression" dxfId="761" priority="751" stopIfTrue="1">
      <formula>AND(NOT($C35=""),F35="")</formula>
    </cfRule>
    <cfRule type="expression" dxfId="760" priority="752" stopIfTrue="1">
      <formula>AQ35="0"</formula>
    </cfRule>
  </conditionalFormatting>
  <conditionalFormatting sqref="G35">
    <cfRule type="expression" dxfId="759" priority="749" stopIfTrue="1">
      <formula>AND(NOT($C35=""),G35="")</formula>
    </cfRule>
    <cfRule type="expression" dxfId="758" priority="750" stopIfTrue="1">
      <formula>AV35="0"</formula>
    </cfRule>
  </conditionalFormatting>
  <conditionalFormatting sqref="H35">
    <cfRule type="expression" dxfId="757" priority="747" stopIfTrue="1">
      <formula>AND(NOT($C35=""),H35="")</formula>
    </cfRule>
    <cfRule type="expression" dxfId="756" priority="748" stopIfTrue="1">
      <formula>BA35="0"</formula>
    </cfRule>
  </conditionalFormatting>
  <conditionalFormatting sqref="I35">
    <cfRule type="expression" dxfId="755" priority="745" stopIfTrue="1">
      <formula>AND(NOT($C35=""),I35="")</formula>
    </cfRule>
    <cfRule type="expression" dxfId="754" priority="746" stopIfTrue="1">
      <formula>BF35="0"</formula>
    </cfRule>
  </conditionalFormatting>
  <conditionalFormatting sqref="J35">
    <cfRule type="expression" dxfId="753" priority="743" stopIfTrue="1">
      <formula>AND(NOT($C35=""),J35="")</formula>
    </cfRule>
    <cfRule type="expression" dxfId="752" priority="744" stopIfTrue="1">
      <formula>BK35="0"</formula>
    </cfRule>
  </conditionalFormatting>
  <conditionalFormatting sqref="K35">
    <cfRule type="expression" dxfId="751" priority="741" stopIfTrue="1">
      <formula>AND(NOT($C35=""),K35="")</formula>
    </cfRule>
    <cfRule type="expression" dxfId="750" priority="742" stopIfTrue="1">
      <formula>BP35="0"</formula>
    </cfRule>
  </conditionalFormatting>
  <conditionalFormatting sqref="L35">
    <cfRule type="expression" dxfId="749" priority="739" stopIfTrue="1">
      <formula>AND(NOT($C35=""),L35="")</formula>
    </cfRule>
    <cfRule type="expression" dxfId="748" priority="740" stopIfTrue="1">
      <formula>BU35="0"</formula>
    </cfRule>
  </conditionalFormatting>
  <conditionalFormatting sqref="N35">
    <cfRule type="expression" dxfId="747" priority="737" stopIfTrue="1">
      <formula>AND(NOT($C35=""),N35="")</formula>
    </cfRule>
    <cfRule type="expression" dxfId="746" priority="738" stopIfTrue="1">
      <formula>CE35="0"</formula>
    </cfRule>
  </conditionalFormatting>
  <conditionalFormatting sqref="M35">
    <cfRule type="expression" dxfId="745" priority="736" stopIfTrue="1">
      <formula>BZ35="0"</formula>
    </cfRule>
  </conditionalFormatting>
  <conditionalFormatting sqref="D35">
    <cfRule type="expression" dxfId="744" priority="734" stopIfTrue="1">
      <formula>AND(NOT($C35=""),D35="")</formula>
    </cfRule>
    <cfRule type="expression" dxfId="743" priority="735" stopIfTrue="1">
      <formula>AG35="0"</formula>
    </cfRule>
  </conditionalFormatting>
  <conditionalFormatting sqref="E35">
    <cfRule type="expression" dxfId="742" priority="732" stopIfTrue="1">
      <formula>AND(NOT($C35=""),E35="")</formula>
    </cfRule>
    <cfRule type="expression" dxfId="741" priority="733" stopIfTrue="1">
      <formula>AL35="0"</formula>
    </cfRule>
  </conditionalFormatting>
  <conditionalFormatting sqref="F35">
    <cfRule type="expression" dxfId="740" priority="730" stopIfTrue="1">
      <formula>AND(NOT($C35=""),F35="")</formula>
    </cfRule>
    <cfRule type="expression" dxfId="739" priority="731" stopIfTrue="1">
      <formula>AQ35="0"</formula>
    </cfRule>
  </conditionalFormatting>
  <conditionalFormatting sqref="G35">
    <cfRule type="expression" dxfId="738" priority="728" stopIfTrue="1">
      <formula>AND(NOT($C35=""),G35="")</formula>
    </cfRule>
    <cfRule type="expression" dxfId="737" priority="729" stopIfTrue="1">
      <formula>AV35="0"</formula>
    </cfRule>
  </conditionalFormatting>
  <conditionalFormatting sqref="H35">
    <cfRule type="expression" dxfId="736" priority="726" stopIfTrue="1">
      <formula>AND(NOT($C35=""),H35="")</formula>
    </cfRule>
    <cfRule type="expression" dxfId="735" priority="727" stopIfTrue="1">
      <formula>BA35="0"</formula>
    </cfRule>
  </conditionalFormatting>
  <conditionalFormatting sqref="I35">
    <cfRule type="expression" dxfId="734" priority="724" stopIfTrue="1">
      <formula>AND(NOT($C35=""),I35="")</formula>
    </cfRule>
    <cfRule type="expression" dxfId="733" priority="725" stopIfTrue="1">
      <formula>BF35="0"</formula>
    </cfRule>
  </conditionalFormatting>
  <conditionalFormatting sqref="J35">
    <cfRule type="expression" dxfId="732" priority="722" stopIfTrue="1">
      <formula>AND(NOT($C35=""),J35="")</formula>
    </cfRule>
    <cfRule type="expression" dxfId="731" priority="723" stopIfTrue="1">
      <formula>BK35="0"</formula>
    </cfRule>
  </conditionalFormatting>
  <conditionalFormatting sqref="K35">
    <cfRule type="expression" dxfId="730" priority="720" stopIfTrue="1">
      <formula>AND(NOT($C35=""),K35="")</formula>
    </cfRule>
    <cfRule type="expression" dxfId="729" priority="721" stopIfTrue="1">
      <formula>BP35="0"</formula>
    </cfRule>
  </conditionalFormatting>
  <conditionalFormatting sqref="L35">
    <cfRule type="expression" dxfId="728" priority="718" stopIfTrue="1">
      <formula>AND(NOT($C35=""),L35="")</formula>
    </cfRule>
    <cfRule type="expression" dxfId="727" priority="719" stopIfTrue="1">
      <formula>BU35="0"</formula>
    </cfRule>
  </conditionalFormatting>
  <conditionalFormatting sqref="N35">
    <cfRule type="expression" dxfId="726" priority="716" stopIfTrue="1">
      <formula>AND(NOT($C35=""),N35="")</formula>
    </cfRule>
    <cfRule type="expression" dxfId="725" priority="717" stopIfTrue="1">
      <formula>CE35="0"</formula>
    </cfRule>
  </conditionalFormatting>
  <conditionalFormatting sqref="M35">
    <cfRule type="expression" dxfId="724" priority="715" stopIfTrue="1">
      <formula>BZ35="0"</formula>
    </cfRule>
  </conditionalFormatting>
  <conditionalFormatting sqref="D35">
    <cfRule type="expression" dxfId="723" priority="713" stopIfTrue="1">
      <formula>AND(NOT($C35=""),D35="")</formula>
    </cfRule>
    <cfRule type="expression" dxfId="722" priority="714" stopIfTrue="1">
      <formula>AG35="0"</formula>
    </cfRule>
  </conditionalFormatting>
  <conditionalFormatting sqref="E35">
    <cfRule type="expression" dxfId="721" priority="711" stopIfTrue="1">
      <formula>AND(NOT($C35=""),E35="")</formula>
    </cfRule>
    <cfRule type="expression" dxfId="720" priority="712" stopIfTrue="1">
      <formula>AL35="0"</formula>
    </cfRule>
  </conditionalFormatting>
  <conditionalFormatting sqref="F35">
    <cfRule type="expression" dxfId="719" priority="709" stopIfTrue="1">
      <formula>AND(NOT($C35=""),F35="")</formula>
    </cfRule>
    <cfRule type="expression" dxfId="718" priority="710" stopIfTrue="1">
      <formula>AQ35="0"</formula>
    </cfRule>
  </conditionalFormatting>
  <conditionalFormatting sqref="G35">
    <cfRule type="expression" dxfId="717" priority="707" stopIfTrue="1">
      <formula>AND(NOT($C35=""),G35="")</formula>
    </cfRule>
    <cfRule type="expression" dxfId="716" priority="708" stopIfTrue="1">
      <formula>AV35="0"</formula>
    </cfRule>
  </conditionalFormatting>
  <conditionalFormatting sqref="H35">
    <cfRule type="expression" dxfId="715" priority="705" stopIfTrue="1">
      <formula>AND(NOT($C35=""),H35="")</formula>
    </cfRule>
    <cfRule type="expression" dxfId="714" priority="706" stopIfTrue="1">
      <formula>BA35="0"</formula>
    </cfRule>
  </conditionalFormatting>
  <conditionalFormatting sqref="I35">
    <cfRule type="expression" dxfId="713" priority="703" stopIfTrue="1">
      <formula>AND(NOT($C35=""),I35="")</formula>
    </cfRule>
    <cfRule type="expression" dxfId="712" priority="704" stopIfTrue="1">
      <formula>BF35="0"</formula>
    </cfRule>
  </conditionalFormatting>
  <conditionalFormatting sqref="J35">
    <cfRule type="expression" dxfId="711" priority="701" stopIfTrue="1">
      <formula>AND(NOT($C35=""),J35="")</formula>
    </cfRule>
    <cfRule type="expression" dxfId="710" priority="702" stopIfTrue="1">
      <formula>BK35="0"</formula>
    </cfRule>
  </conditionalFormatting>
  <conditionalFormatting sqref="K35">
    <cfRule type="expression" dxfId="709" priority="699" stopIfTrue="1">
      <formula>AND(NOT($C35=""),K35="")</formula>
    </cfRule>
    <cfRule type="expression" dxfId="708" priority="700" stopIfTrue="1">
      <formula>BP35="0"</formula>
    </cfRule>
  </conditionalFormatting>
  <conditionalFormatting sqref="L35">
    <cfRule type="expression" dxfId="707" priority="697" stopIfTrue="1">
      <formula>AND(NOT($C35=""),L35="")</formula>
    </cfRule>
    <cfRule type="expression" dxfId="706" priority="698" stopIfTrue="1">
      <formula>BU35="0"</formula>
    </cfRule>
  </conditionalFormatting>
  <conditionalFormatting sqref="N35">
    <cfRule type="expression" dxfId="705" priority="695" stopIfTrue="1">
      <formula>AND(NOT($C35=""),N35="")</formula>
    </cfRule>
    <cfRule type="expression" dxfId="704" priority="696" stopIfTrue="1">
      <formula>CE35="0"</formula>
    </cfRule>
  </conditionalFormatting>
  <conditionalFormatting sqref="M35">
    <cfRule type="expression" dxfId="703" priority="694" stopIfTrue="1">
      <formula>BZ35="0"</formula>
    </cfRule>
  </conditionalFormatting>
  <conditionalFormatting sqref="D35">
    <cfRule type="expression" dxfId="702" priority="692" stopIfTrue="1">
      <formula>AND(NOT($C35=""),D35="")</formula>
    </cfRule>
    <cfRule type="expression" dxfId="701" priority="693" stopIfTrue="1">
      <formula>AG35="0"</formula>
    </cfRule>
  </conditionalFormatting>
  <conditionalFormatting sqref="E35">
    <cfRule type="expression" dxfId="700" priority="690" stopIfTrue="1">
      <formula>AND(NOT($C35=""),E35="")</formula>
    </cfRule>
    <cfRule type="expression" dxfId="699" priority="691" stopIfTrue="1">
      <formula>AL35="0"</formula>
    </cfRule>
  </conditionalFormatting>
  <conditionalFormatting sqref="F35">
    <cfRule type="expression" dxfId="698" priority="688" stopIfTrue="1">
      <formula>AND(NOT($C35=""),F35="")</formula>
    </cfRule>
    <cfRule type="expression" dxfId="697" priority="689" stopIfTrue="1">
      <formula>AQ35="0"</formula>
    </cfRule>
  </conditionalFormatting>
  <conditionalFormatting sqref="G35">
    <cfRule type="expression" dxfId="696" priority="686" stopIfTrue="1">
      <formula>AND(NOT($C35=""),G35="")</formula>
    </cfRule>
    <cfRule type="expression" dxfId="695" priority="687" stopIfTrue="1">
      <formula>AV35="0"</formula>
    </cfRule>
  </conditionalFormatting>
  <conditionalFormatting sqref="H35">
    <cfRule type="expression" dxfId="694" priority="684" stopIfTrue="1">
      <formula>AND(NOT($C35=""),H35="")</formula>
    </cfRule>
    <cfRule type="expression" dxfId="693" priority="685" stopIfTrue="1">
      <formula>BA35="0"</formula>
    </cfRule>
  </conditionalFormatting>
  <conditionalFormatting sqref="I35">
    <cfRule type="expression" dxfId="692" priority="682" stopIfTrue="1">
      <formula>AND(NOT($C35=""),I35="")</formula>
    </cfRule>
    <cfRule type="expression" dxfId="691" priority="683" stopIfTrue="1">
      <formula>BF35="0"</formula>
    </cfRule>
  </conditionalFormatting>
  <conditionalFormatting sqref="J35">
    <cfRule type="expression" dxfId="690" priority="680" stopIfTrue="1">
      <formula>AND(NOT($C35=""),J35="")</formula>
    </cfRule>
    <cfRule type="expression" dxfId="689" priority="681" stopIfTrue="1">
      <formula>BK35="0"</formula>
    </cfRule>
  </conditionalFormatting>
  <conditionalFormatting sqref="K35">
    <cfRule type="expression" dxfId="688" priority="678" stopIfTrue="1">
      <formula>AND(NOT($C35=""),K35="")</formula>
    </cfRule>
    <cfRule type="expression" dxfId="687" priority="679" stopIfTrue="1">
      <formula>BP35="0"</formula>
    </cfRule>
  </conditionalFormatting>
  <conditionalFormatting sqref="L35">
    <cfRule type="expression" dxfId="686" priority="676" stopIfTrue="1">
      <formula>AND(NOT($C35=""),L35="")</formula>
    </cfRule>
    <cfRule type="expression" dxfId="685" priority="677" stopIfTrue="1">
      <formula>BU35="0"</formula>
    </cfRule>
  </conditionalFormatting>
  <conditionalFormatting sqref="N35">
    <cfRule type="expression" dxfId="684" priority="674" stopIfTrue="1">
      <formula>AND(NOT($C35=""),N35="")</formula>
    </cfRule>
    <cfRule type="expression" dxfId="683" priority="675" stopIfTrue="1">
      <formula>CE35="0"</formula>
    </cfRule>
  </conditionalFormatting>
  <conditionalFormatting sqref="M35">
    <cfRule type="expression" dxfId="682" priority="673" stopIfTrue="1">
      <formula>BZ35="0"</formula>
    </cfRule>
  </conditionalFormatting>
  <conditionalFormatting sqref="D35">
    <cfRule type="expression" dxfId="681" priority="671" stopIfTrue="1">
      <formula>AND(NOT($C35=""),D35="")</formula>
    </cfRule>
    <cfRule type="expression" dxfId="680" priority="672" stopIfTrue="1">
      <formula>AG35="0"</formula>
    </cfRule>
  </conditionalFormatting>
  <conditionalFormatting sqref="E35">
    <cfRule type="expression" dxfId="679" priority="669" stopIfTrue="1">
      <formula>AND(NOT($C35=""),E35="")</formula>
    </cfRule>
    <cfRule type="expression" dxfId="678" priority="670" stopIfTrue="1">
      <formula>AL35="0"</formula>
    </cfRule>
  </conditionalFormatting>
  <conditionalFormatting sqref="F35">
    <cfRule type="expression" dxfId="677" priority="667" stopIfTrue="1">
      <formula>AND(NOT($C35=""),F35="")</formula>
    </cfRule>
    <cfRule type="expression" dxfId="676" priority="668" stopIfTrue="1">
      <formula>AQ35="0"</formula>
    </cfRule>
  </conditionalFormatting>
  <conditionalFormatting sqref="G35">
    <cfRule type="expression" dxfId="675" priority="665" stopIfTrue="1">
      <formula>AND(NOT($C35=""),G35="")</formula>
    </cfRule>
    <cfRule type="expression" dxfId="674" priority="666" stopIfTrue="1">
      <formula>AV35="0"</formula>
    </cfRule>
  </conditionalFormatting>
  <conditionalFormatting sqref="H35">
    <cfRule type="expression" dxfId="673" priority="663" stopIfTrue="1">
      <formula>AND(NOT($C35=""),H35="")</formula>
    </cfRule>
    <cfRule type="expression" dxfId="672" priority="664" stopIfTrue="1">
      <formula>BA35="0"</formula>
    </cfRule>
  </conditionalFormatting>
  <conditionalFormatting sqref="I35">
    <cfRule type="expression" dxfId="671" priority="661" stopIfTrue="1">
      <formula>AND(NOT($C35=""),I35="")</formula>
    </cfRule>
    <cfRule type="expression" dxfId="670" priority="662" stopIfTrue="1">
      <formula>BF35="0"</formula>
    </cfRule>
  </conditionalFormatting>
  <conditionalFormatting sqref="J35">
    <cfRule type="expression" dxfId="669" priority="659" stopIfTrue="1">
      <formula>AND(NOT($C35=""),J35="")</formula>
    </cfRule>
    <cfRule type="expression" dxfId="668" priority="660" stopIfTrue="1">
      <formula>BK35="0"</formula>
    </cfRule>
  </conditionalFormatting>
  <conditionalFormatting sqref="K35">
    <cfRule type="expression" dxfId="667" priority="657" stopIfTrue="1">
      <formula>AND(NOT($C35=""),K35="")</formula>
    </cfRule>
    <cfRule type="expression" dxfId="666" priority="658" stopIfTrue="1">
      <formula>BP35="0"</formula>
    </cfRule>
  </conditionalFormatting>
  <conditionalFormatting sqref="L35">
    <cfRule type="expression" dxfId="665" priority="655" stopIfTrue="1">
      <formula>AND(NOT($C35=""),L35="")</formula>
    </cfRule>
    <cfRule type="expression" dxfId="664" priority="656" stopIfTrue="1">
      <formula>BU35="0"</formula>
    </cfRule>
  </conditionalFormatting>
  <conditionalFormatting sqref="N35">
    <cfRule type="expression" dxfId="663" priority="653" stopIfTrue="1">
      <formula>AND(NOT($C35=""),N35="")</formula>
    </cfRule>
    <cfRule type="expression" dxfId="662" priority="654" stopIfTrue="1">
      <formula>CE35="0"</formula>
    </cfRule>
  </conditionalFormatting>
  <conditionalFormatting sqref="M37">
    <cfRule type="expression" dxfId="661" priority="652" stopIfTrue="1">
      <formula>BZ37="0"</formula>
    </cfRule>
  </conditionalFormatting>
  <conditionalFormatting sqref="E37">
    <cfRule type="expression" dxfId="660" priority="650" stopIfTrue="1">
      <formula>AND(NOT($C37=""),E37="")</formula>
    </cfRule>
    <cfRule type="expression" dxfId="659" priority="651" stopIfTrue="1">
      <formula>AL37="0"</formula>
    </cfRule>
  </conditionalFormatting>
  <conditionalFormatting sqref="F37">
    <cfRule type="expression" dxfId="658" priority="648" stopIfTrue="1">
      <formula>AND(NOT($C37=""),F37="")</formula>
    </cfRule>
    <cfRule type="expression" dxfId="657" priority="649" stopIfTrue="1">
      <formula>AQ37="0"</formula>
    </cfRule>
  </conditionalFormatting>
  <conditionalFormatting sqref="G37">
    <cfRule type="expression" dxfId="656" priority="646" stopIfTrue="1">
      <formula>AND(NOT($C37=""),G37="")</formula>
    </cfRule>
    <cfRule type="expression" dxfId="655" priority="647" stopIfTrue="1">
      <formula>AV37="0"</formula>
    </cfRule>
  </conditionalFormatting>
  <conditionalFormatting sqref="H37">
    <cfRule type="expression" dxfId="654" priority="644" stopIfTrue="1">
      <formula>AND(NOT($C37=""),H37="")</formula>
    </cfRule>
    <cfRule type="expression" dxfId="653" priority="645" stopIfTrue="1">
      <formula>BA37="0"</formula>
    </cfRule>
  </conditionalFormatting>
  <conditionalFormatting sqref="I37">
    <cfRule type="expression" dxfId="652" priority="642" stopIfTrue="1">
      <formula>AND(NOT($C37=""),I37="")</formula>
    </cfRule>
    <cfRule type="expression" dxfId="651" priority="643" stopIfTrue="1">
      <formula>BF37="0"</formula>
    </cfRule>
  </conditionalFormatting>
  <conditionalFormatting sqref="J37">
    <cfRule type="expression" dxfId="650" priority="640" stopIfTrue="1">
      <formula>AND(NOT($C37=""),J37="")</formula>
    </cfRule>
    <cfRule type="expression" dxfId="649" priority="641" stopIfTrue="1">
      <formula>BK37="0"</formula>
    </cfRule>
  </conditionalFormatting>
  <conditionalFormatting sqref="K37">
    <cfRule type="expression" dxfId="648" priority="638" stopIfTrue="1">
      <formula>AND(NOT($C37=""),K37="")</formula>
    </cfRule>
    <cfRule type="expression" dxfId="647" priority="639" stopIfTrue="1">
      <formula>BP37="0"</formula>
    </cfRule>
  </conditionalFormatting>
  <conditionalFormatting sqref="L37">
    <cfRule type="expression" dxfId="646" priority="636" stopIfTrue="1">
      <formula>AND(NOT($C37=""),L37="")</formula>
    </cfRule>
    <cfRule type="expression" dxfId="645" priority="637" stopIfTrue="1">
      <formula>BU37="0"</formula>
    </cfRule>
  </conditionalFormatting>
  <conditionalFormatting sqref="N37">
    <cfRule type="expression" dxfId="644" priority="634" stopIfTrue="1">
      <formula>AND(NOT($C37=""),N37="")</formula>
    </cfRule>
    <cfRule type="expression" dxfId="643" priority="635" stopIfTrue="1">
      <formula>CE37="0"</formula>
    </cfRule>
  </conditionalFormatting>
  <conditionalFormatting sqref="M37">
    <cfRule type="expression" dxfId="642" priority="633" stopIfTrue="1">
      <formula>BZ37="0"</formula>
    </cfRule>
  </conditionalFormatting>
  <conditionalFormatting sqref="E37">
    <cfRule type="expression" dxfId="641" priority="631" stopIfTrue="1">
      <formula>AND(NOT($C37=""),E37="")</formula>
    </cfRule>
    <cfRule type="expression" dxfId="640" priority="632" stopIfTrue="1">
      <formula>AL37="0"</formula>
    </cfRule>
  </conditionalFormatting>
  <conditionalFormatting sqref="F37">
    <cfRule type="expression" dxfId="639" priority="629" stopIfTrue="1">
      <formula>AND(NOT($C37=""),F37="")</formula>
    </cfRule>
    <cfRule type="expression" dxfId="638" priority="630" stopIfTrue="1">
      <formula>AQ37="0"</formula>
    </cfRule>
  </conditionalFormatting>
  <conditionalFormatting sqref="G37">
    <cfRule type="expression" dxfId="637" priority="627" stopIfTrue="1">
      <formula>AND(NOT($C37=""),G37="")</formula>
    </cfRule>
    <cfRule type="expression" dxfId="636" priority="628" stopIfTrue="1">
      <formula>AV37="0"</formula>
    </cfRule>
  </conditionalFormatting>
  <conditionalFormatting sqref="H37">
    <cfRule type="expression" dxfId="635" priority="625" stopIfTrue="1">
      <formula>AND(NOT($C37=""),H37="")</formula>
    </cfRule>
    <cfRule type="expression" dxfId="634" priority="626" stopIfTrue="1">
      <formula>BA37="0"</formula>
    </cfRule>
  </conditionalFormatting>
  <conditionalFormatting sqref="I37">
    <cfRule type="expression" dxfId="633" priority="623" stopIfTrue="1">
      <formula>AND(NOT($C37=""),I37="")</formula>
    </cfRule>
    <cfRule type="expression" dxfId="632" priority="624" stopIfTrue="1">
      <formula>BF37="0"</formula>
    </cfRule>
  </conditionalFormatting>
  <conditionalFormatting sqref="J37">
    <cfRule type="expression" dxfId="631" priority="621" stopIfTrue="1">
      <formula>AND(NOT($C37=""),J37="")</formula>
    </cfRule>
    <cfRule type="expression" dxfId="630" priority="622" stopIfTrue="1">
      <formula>BK37="0"</formula>
    </cfRule>
  </conditionalFormatting>
  <conditionalFormatting sqref="K37">
    <cfRule type="expression" dxfId="629" priority="619" stopIfTrue="1">
      <formula>AND(NOT($C37=""),K37="")</formula>
    </cfRule>
    <cfRule type="expression" dxfId="628" priority="620" stopIfTrue="1">
      <formula>BP37="0"</formula>
    </cfRule>
  </conditionalFormatting>
  <conditionalFormatting sqref="L37">
    <cfRule type="expression" dxfId="627" priority="617" stopIfTrue="1">
      <formula>AND(NOT($C37=""),L37="")</formula>
    </cfRule>
    <cfRule type="expression" dxfId="626" priority="618" stopIfTrue="1">
      <formula>BU37="0"</formula>
    </cfRule>
  </conditionalFormatting>
  <conditionalFormatting sqref="N37">
    <cfRule type="expression" dxfId="625" priority="615" stopIfTrue="1">
      <formula>AND(NOT($C37=""),N37="")</formula>
    </cfRule>
    <cfRule type="expression" dxfId="624" priority="616" stopIfTrue="1">
      <formula>CE37="0"</formula>
    </cfRule>
  </conditionalFormatting>
  <conditionalFormatting sqref="M37">
    <cfRule type="expression" dxfId="623" priority="614" stopIfTrue="1">
      <formula>BZ37="0"</formula>
    </cfRule>
  </conditionalFormatting>
  <conditionalFormatting sqref="E37">
    <cfRule type="expression" dxfId="622" priority="612" stopIfTrue="1">
      <formula>AND(NOT($C37=""),E37="")</formula>
    </cfRule>
    <cfRule type="expression" dxfId="621" priority="613" stopIfTrue="1">
      <formula>AL37="0"</formula>
    </cfRule>
  </conditionalFormatting>
  <conditionalFormatting sqref="F37">
    <cfRule type="expression" dxfId="620" priority="610" stopIfTrue="1">
      <formula>AND(NOT($C37=""),F37="")</formula>
    </cfRule>
    <cfRule type="expression" dxfId="619" priority="611" stopIfTrue="1">
      <formula>AQ37="0"</formula>
    </cfRule>
  </conditionalFormatting>
  <conditionalFormatting sqref="G37">
    <cfRule type="expression" dxfId="618" priority="608" stopIfTrue="1">
      <formula>AND(NOT($C37=""),G37="")</formula>
    </cfRule>
    <cfRule type="expression" dxfId="617" priority="609" stopIfTrue="1">
      <formula>AV37="0"</formula>
    </cfRule>
  </conditionalFormatting>
  <conditionalFormatting sqref="H37">
    <cfRule type="expression" dxfId="616" priority="606" stopIfTrue="1">
      <formula>AND(NOT($C37=""),H37="")</formula>
    </cfRule>
    <cfRule type="expression" dxfId="615" priority="607" stopIfTrue="1">
      <formula>BA37="0"</formula>
    </cfRule>
  </conditionalFormatting>
  <conditionalFormatting sqref="I37">
    <cfRule type="expression" dxfId="614" priority="604" stopIfTrue="1">
      <formula>AND(NOT($C37=""),I37="")</formula>
    </cfRule>
    <cfRule type="expression" dxfId="613" priority="605" stopIfTrue="1">
      <formula>BF37="0"</formula>
    </cfRule>
  </conditionalFormatting>
  <conditionalFormatting sqref="J37">
    <cfRule type="expression" dxfId="612" priority="602" stopIfTrue="1">
      <formula>AND(NOT($C37=""),J37="")</formula>
    </cfRule>
    <cfRule type="expression" dxfId="611" priority="603" stopIfTrue="1">
      <formula>BK37="0"</formula>
    </cfRule>
  </conditionalFormatting>
  <conditionalFormatting sqref="K37">
    <cfRule type="expression" dxfId="610" priority="600" stopIfTrue="1">
      <formula>AND(NOT($C37=""),K37="")</formula>
    </cfRule>
    <cfRule type="expression" dxfId="609" priority="601" stopIfTrue="1">
      <formula>BP37="0"</formula>
    </cfRule>
  </conditionalFormatting>
  <conditionalFormatting sqref="L37">
    <cfRule type="expression" dxfId="608" priority="598" stopIfTrue="1">
      <formula>AND(NOT($C37=""),L37="")</formula>
    </cfRule>
    <cfRule type="expression" dxfId="607" priority="599" stopIfTrue="1">
      <formula>BU37="0"</formula>
    </cfRule>
  </conditionalFormatting>
  <conditionalFormatting sqref="N37">
    <cfRule type="expression" dxfId="606" priority="596" stopIfTrue="1">
      <formula>AND(NOT($C37=""),N37="")</formula>
    </cfRule>
    <cfRule type="expression" dxfId="605" priority="597" stopIfTrue="1">
      <formula>CE37="0"</formula>
    </cfRule>
  </conditionalFormatting>
  <conditionalFormatting sqref="M37">
    <cfRule type="expression" dxfId="604" priority="595" stopIfTrue="1">
      <formula>BZ37="0"</formula>
    </cfRule>
  </conditionalFormatting>
  <conditionalFormatting sqref="E37">
    <cfRule type="expression" dxfId="603" priority="593" stopIfTrue="1">
      <formula>AND(NOT($C37=""),E37="")</formula>
    </cfRule>
    <cfRule type="expression" dxfId="602" priority="594" stopIfTrue="1">
      <formula>AL37="0"</formula>
    </cfRule>
  </conditionalFormatting>
  <conditionalFormatting sqref="F37">
    <cfRule type="expression" dxfId="601" priority="591" stopIfTrue="1">
      <formula>AND(NOT($C37=""),F37="")</formula>
    </cfRule>
    <cfRule type="expression" dxfId="600" priority="592" stopIfTrue="1">
      <formula>AQ37="0"</formula>
    </cfRule>
  </conditionalFormatting>
  <conditionalFormatting sqref="G37">
    <cfRule type="expression" dxfId="599" priority="589" stopIfTrue="1">
      <formula>AND(NOT($C37=""),G37="")</formula>
    </cfRule>
    <cfRule type="expression" dxfId="598" priority="590" stopIfTrue="1">
      <formula>AV37="0"</formula>
    </cfRule>
  </conditionalFormatting>
  <conditionalFormatting sqref="H37">
    <cfRule type="expression" dxfId="597" priority="587" stopIfTrue="1">
      <formula>AND(NOT($C37=""),H37="")</formula>
    </cfRule>
    <cfRule type="expression" dxfId="596" priority="588" stopIfTrue="1">
      <formula>BA37="0"</formula>
    </cfRule>
  </conditionalFormatting>
  <conditionalFormatting sqref="I37">
    <cfRule type="expression" dxfId="595" priority="585" stopIfTrue="1">
      <formula>AND(NOT($C37=""),I37="")</formula>
    </cfRule>
    <cfRule type="expression" dxfId="594" priority="586" stopIfTrue="1">
      <formula>BF37="0"</formula>
    </cfRule>
  </conditionalFormatting>
  <conditionalFormatting sqref="J37">
    <cfRule type="expression" dxfId="593" priority="583" stopIfTrue="1">
      <formula>AND(NOT($C37=""),J37="")</formula>
    </cfRule>
    <cfRule type="expression" dxfId="592" priority="584" stopIfTrue="1">
      <formula>BK37="0"</formula>
    </cfRule>
  </conditionalFormatting>
  <conditionalFormatting sqref="K37">
    <cfRule type="expression" dxfId="591" priority="581" stopIfTrue="1">
      <formula>AND(NOT($C37=""),K37="")</formula>
    </cfRule>
    <cfRule type="expression" dxfId="590" priority="582" stopIfTrue="1">
      <formula>BP37="0"</formula>
    </cfRule>
  </conditionalFormatting>
  <conditionalFormatting sqref="L37">
    <cfRule type="expression" dxfId="589" priority="579" stopIfTrue="1">
      <formula>AND(NOT($C37=""),L37="")</formula>
    </cfRule>
    <cfRule type="expression" dxfId="588" priority="580" stopIfTrue="1">
      <formula>BU37="0"</formula>
    </cfRule>
  </conditionalFormatting>
  <conditionalFormatting sqref="N37">
    <cfRule type="expression" dxfId="587" priority="577" stopIfTrue="1">
      <formula>AND(NOT($C37=""),N37="")</formula>
    </cfRule>
    <cfRule type="expression" dxfId="586" priority="578" stopIfTrue="1">
      <formula>CE37="0"</formula>
    </cfRule>
  </conditionalFormatting>
  <conditionalFormatting sqref="M37">
    <cfRule type="expression" dxfId="585" priority="576" stopIfTrue="1">
      <formula>BZ37="0"</formula>
    </cfRule>
  </conditionalFormatting>
  <conditionalFormatting sqref="E37">
    <cfRule type="expression" dxfId="584" priority="574" stopIfTrue="1">
      <formula>AND(NOT($C37=""),E37="")</formula>
    </cfRule>
    <cfRule type="expression" dxfId="583" priority="575" stopIfTrue="1">
      <formula>AL37="0"</formula>
    </cfRule>
  </conditionalFormatting>
  <conditionalFormatting sqref="F37">
    <cfRule type="expression" dxfId="582" priority="572" stopIfTrue="1">
      <formula>AND(NOT($C37=""),F37="")</formula>
    </cfRule>
    <cfRule type="expression" dxfId="581" priority="573" stopIfTrue="1">
      <formula>AQ37="0"</formula>
    </cfRule>
  </conditionalFormatting>
  <conditionalFormatting sqref="G37">
    <cfRule type="expression" dxfId="580" priority="570" stopIfTrue="1">
      <formula>AND(NOT($C37=""),G37="")</formula>
    </cfRule>
    <cfRule type="expression" dxfId="579" priority="571" stopIfTrue="1">
      <formula>AV37="0"</formula>
    </cfRule>
  </conditionalFormatting>
  <conditionalFormatting sqref="H37">
    <cfRule type="expression" dxfId="578" priority="568" stopIfTrue="1">
      <formula>AND(NOT($C37=""),H37="")</formula>
    </cfRule>
    <cfRule type="expression" dxfId="577" priority="569" stopIfTrue="1">
      <formula>BA37="0"</formula>
    </cfRule>
  </conditionalFormatting>
  <conditionalFormatting sqref="I37">
    <cfRule type="expression" dxfId="576" priority="566" stopIfTrue="1">
      <formula>AND(NOT($C37=""),I37="")</formula>
    </cfRule>
    <cfRule type="expression" dxfId="575" priority="567" stopIfTrue="1">
      <formula>BF37="0"</formula>
    </cfRule>
  </conditionalFormatting>
  <conditionalFormatting sqref="J37">
    <cfRule type="expression" dxfId="574" priority="564" stopIfTrue="1">
      <formula>AND(NOT($C37=""),J37="")</formula>
    </cfRule>
    <cfRule type="expression" dxfId="573" priority="565" stopIfTrue="1">
      <formula>BK37="0"</formula>
    </cfRule>
  </conditionalFormatting>
  <conditionalFormatting sqref="K37">
    <cfRule type="expression" dxfId="572" priority="562" stopIfTrue="1">
      <formula>AND(NOT($C37=""),K37="")</formula>
    </cfRule>
    <cfRule type="expression" dxfId="571" priority="563" stopIfTrue="1">
      <formula>BP37="0"</formula>
    </cfRule>
  </conditionalFormatting>
  <conditionalFormatting sqref="L37">
    <cfRule type="expression" dxfId="570" priority="560" stopIfTrue="1">
      <formula>AND(NOT($C37=""),L37="")</formula>
    </cfRule>
    <cfRule type="expression" dxfId="569" priority="561" stopIfTrue="1">
      <formula>BU37="0"</formula>
    </cfRule>
  </conditionalFormatting>
  <conditionalFormatting sqref="N37">
    <cfRule type="expression" dxfId="568" priority="558" stopIfTrue="1">
      <formula>AND(NOT($C37=""),N37="")</formula>
    </cfRule>
    <cfRule type="expression" dxfId="567" priority="559" stopIfTrue="1">
      <formula>CE37="0"</formula>
    </cfRule>
  </conditionalFormatting>
  <conditionalFormatting sqref="M37">
    <cfRule type="expression" dxfId="566" priority="557" stopIfTrue="1">
      <formula>BZ37="0"</formula>
    </cfRule>
  </conditionalFormatting>
  <conditionalFormatting sqref="E37">
    <cfRule type="expression" dxfId="565" priority="555" stopIfTrue="1">
      <formula>AND(NOT($C37=""),E37="")</formula>
    </cfRule>
    <cfRule type="expression" dxfId="564" priority="556" stopIfTrue="1">
      <formula>AL37="0"</formula>
    </cfRule>
  </conditionalFormatting>
  <conditionalFormatting sqref="F37">
    <cfRule type="expression" dxfId="563" priority="553" stopIfTrue="1">
      <formula>AND(NOT($C37=""),F37="")</formula>
    </cfRule>
    <cfRule type="expression" dxfId="562" priority="554" stopIfTrue="1">
      <formula>AQ37="0"</formula>
    </cfRule>
  </conditionalFormatting>
  <conditionalFormatting sqref="G37">
    <cfRule type="expression" dxfId="561" priority="551" stopIfTrue="1">
      <formula>AND(NOT($C37=""),G37="")</formula>
    </cfRule>
    <cfRule type="expression" dxfId="560" priority="552" stopIfTrue="1">
      <formula>AV37="0"</formula>
    </cfRule>
  </conditionalFormatting>
  <conditionalFormatting sqref="H37">
    <cfRule type="expression" dxfId="559" priority="549" stopIfTrue="1">
      <formula>AND(NOT($C37=""),H37="")</formula>
    </cfRule>
    <cfRule type="expression" dxfId="558" priority="550" stopIfTrue="1">
      <formula>BA37="0"</formula>
    </cfRule>
  </conditionalFormatting>
  <conditionalFormatting sqref="I37">
    <cfRule type="expression" dxfId="557" priority="547" stopIfTrue="1">
      <formula>AND(NOT($C37=""),I37="")</formula>
    </cfRule>
    <cfRule type="expression" dxfId="556" priority="548" stopIfTrue="1">
      <formula>BF37="0"</formula>
    </cfRule>
  </conditionalFormatting>
  <conditionalFormatting sqref="J37">
    <cfRule type="expression" dxfId="555" priority="545" stopIfTrue="1">
      <formula>AND(NOT($C37=""),J37="")</formula>
    </cfRule>
    <cfRule type="expression" dxfId="554" priority="546" stopIfTrue="1">
      <formula>BK37="0"</formula>
    </cfRule>
  </conditionalFormatting>
  <conditionalFormatting sqref="K37">
    <cfRule type="expression" dxfId="553" priority="543" stopIfTrue="1">
      <formula>AND(NOT($C37=""),K37="")</formula>
    </cfRule>
    <cfRule type="expression" dxfId="552" priority="544" stopIfTrue="1">
      <formula>BP37="0"</formula>
    </cfRule>
  </conditionalFormatting>
  <conditionalFormatting sqref="L37">
    <cfRule type="expression" dxfId="551" priority="541" stopIfTrue="1">
      <formula>AND(NOT($C37=""),L37="")</formula>
    </cfRule>
    <cfRule type="expression" dxfId="550" priority="542" stopIfTrue="1">
      <formula>BU37="0"</formula>
    </cfRule>
  </conditionalFormatting>
  <conditionalFormatting sqref="N37">
    <cfRule type="expression" dxfId="549" priority="539" stopIfTrue="1">
      <formula>AND(NOT($C37=""),N37="")</formula>
    </cfRule>
    <cfRule type="expression" dxfId="548" priority="540" stopIfTrue="1">
      <formula>CE37="0"</formula>
    </cfRule>
  </conditionalFormatting>
  <conditionalFormatting sqref="M37">
    <cfRule type="expression" dxfId="547" priority="538" stopIfTrue="1">
      <formula>BZ37="0"</formula>
    </cfRule>
  </conditionalFormatting>
  <conditionalFormatting sqref="E37">
    <cfRule type="expression" dxfId="546" priority="536" stopIfTrue="1">
      <formula>AND(NOT($C37=""),E37="")</formula>
    </cfRule>
    <cfRule type="expression" dxfId="545" priority="537" stopIfTrue="1">
      <formula>AL37="0"</formula>
    </cfRule>
  </conditionalFormatting>
  <conditionalFormatting sqref="F37">
    <cfRule type="expression" dxfId="544" priority="534" stopIfTrue="1">
      <formula>AND(NOT($C37=""),F37="")</formula>
    </cfRule>
    <cfRule type="expression" dxfId="543" priority="535" stopIfTrue="1">
      <formula>AQ37="0"</formula>
    </cfRule>
  </conditionalFormatting>
  <conditionalFormatting sqref="G37">
    <cfRule type="expression" dxfId="542" priority="532" stopIfTrue="1">
      <formula>AND(NOT($C37=""),G37="")</formula>
    </cfRule>
    <cfRule type="expression" dxfId="541" priority="533" stopIfTrue="1">
      <formula>AV37="0"</formula>
    </cfRule>
  </conditionalFormatting>
  <conditionalFormatting sqref="H37">
    <cfRule type="expression" dxfId="540" priority="530" stopIfTrue="1">
      <formula>AND(NOT($C37=""),H37="")</formula>
    </cfRule>
    <cfRule type="expression" dxfId="539" priority="531" stopIfTrue="1">
      <formula>BA37="0"</formula>
    </cfRule>
  </conditionalFormatting>
  <conditionalFormatting sqref="I37">
    <cfRule type="expression" dxfId="538" priority="528" stopIfTrue="1">
      <formula>AND(NOT($C37=""),I37="")</formula>
    </cfRule>
    <cfRule type="expression" dxfId="537" priority="529" stopIfTrue="1">
      <formula>BF37="0"</formula>
    </cfRule>
  </conditionalFormatting>
  <conditionalFormatting sqref="J37">
    <cfRule type="expression" dxfId="536" priority="526" stopIfTrue="1">
      <formula>AND(NOT($C37=""),J37="")</formula>
    </cfRule>
    <cfRule type="expression" dxfId="535" priority="527" stopIfTrue="1">
      <formula>BK37="0"</formula>
    </cfRule>
  </conditionalFormatting>
  <conditionalFormatting sqref="K37">
    <cfRule type="expression" dxfId="534" priority="524" stopIfTrue="1">
      <formula>AND(NOT($C37=""),K37="")</formula>
    </cfRule>
    <cfRule type="expression" dxfId="533" priority="525" stopIfTrue="1">
      <formula>BP37="0"</formula>
    </cfRule>
  </conditionalFormatting>
  <conditionalFormatting sqref="L37">
    <cfRule type="expression" dxfId="532" priority="522" stopIfTrue="1">
      <formula>AND(NOT($C37=""),L37="")</formula>
    </cfRule>
    <cfRule type="expression" dxfId="531" priority="523" stopIfTrue="1">
      <formula>BU37="0"</formula>
    </cfRule>
  </conditionalFormatting>
  <conditionalFormatting sqref="N37">
    <cfRule type="expression" dxfId="530" priority="520" stopIfTrue="1">
      <formula>AND(NOT($C37=""),N37="")</formula>
    </cfRule>
    <cfRule type="expression" dxfId="529" priority="521" stopIfTrue="1">
      <formula>CE37="0"</formula>
    </cfRule>
  </conditionalFormatting>
  <conditionalFormatting sqref="M37">
    <cfRule type="expression" dxfId="528" priority="519" stopIfTrue="1">
      <formula>BZ37="0"</formula>
    </cfRule>
  </conditionalFormatting>
  <conditionalFormatting sqref="E37">
    <cfRule type="expression" dxfId="527" priority="517" stopIfTrue="1">
      <formula>AND(NOT($C37=""),E37="")</formula>
    </cfRule>
    <cfRule type="expression" dxfId="526" priority="518" stopIfTrue="1">
      <formula>AL37="0"</formula>
    </cfRule>
  </conditionalFormatting>
  <conditionalFormatting sqref="F37">
    <cfRule type="expression" dxfId="525" priority="515" stopIfTrue="1">
      <formula>AND(NOT($C37=""),F37="")</formula>
    </cfRule>
    <cfRule type="expression" dxfId="524" priority="516" stopIfTrue="1">
      <formula>AQ37="0"</formula>
    </cfRule>
  </conditionalFormatting>
  <conditionalFormatting sqref="G37">
    <cfRule type="expression" dxfId="523" priority="513" stopIfTrue="1">
      <formula>AND(NOT($C37=""),G37="")</formula>
    </cfRule>
    <cfRule type="expression" dxfId="522" priority="514" stopIfTrue="1">
      <formula>AV37="0"</formula>
    </cfRule>
  </conditionalFormatting>
  <conditionalFormatting sqref="H37">
    <cfRule type="expression" dxfId="521" priority="511" stopIfTrue="1">
      <formula>AND(NOT($C37=""),H37="")</formula>
    </cfRule>
    <cfRule type="expression" dxfId="520" priority="512" stopIfTrue="1">
      <formula>BA37="0"</formula>
    </cfRule>
  </conditionalFormatting>
  <conditionalFormatting sqref="I37">
    <cfRule type="expression" dxfId="519" priority="509" stopIfTrue="1">
      <formula>AND(NOT($C37=""),I37="")</formula>
    </cfRule>
    <cfRule type="expression" dxfId="518" priority="510" stopIfTrue="1">
      <formula>BF37="0"</formula>
    </cfRule>
  </conditionalFormatting>
  <conditionalFormatting sqref="J37">
    <cfRule type="expression" dxfId="517" priority="507" stopIfTrue="1">
      <formula>AND(NOT($C37=""),J37="")</formula>
    </cfRule>
    <cfRule type="expression" dxfId="516" priority="508" stopIfTrue="1">
      <formula>BK37="0"</formula>
    </cfRule>
  </conditionalFormatting>
  <conditionalFormatting sqref="K37">
    <cfRule type="expression" dxfId="515" priority="505" stopIfTrue="1">
      <formula>AND(NOT($C37=""),K37="")</formula>
    </cfRule>
    <cfRule type="expression" dxfId="514" priority="506" stopIfTrue="1">
      <formula>BP37="0"</formula>
    </cfRule>
  </conditionalFormatting>
  <conditionalFormatting sqref="L37">
    <cfRule type="expression" dxfId="513" priority="503" stopIfTrue="1">
      <formula>AND(NOT($C37=""),L37="")</formula>
    </cfRule>
    <cfRule type="expression" dxfId="512" priority="504" stopIfTrue="1">
      <formula>BU37="0"</formula>
    </cfRule>
  </conditionalFormatting>
  <conditionalFormatting sqref="N37">
    <cfRule type="expression" dxfId="511" priority="501" stopIfTrue="1">
      <formula>AND(NOT($C37=""),N37="")</formula>
    </cfRule>
    <cfRule type="expression" dxfId="510" priority="502" stopIfTrue="1">
      <formula>CE37="0"</formula>
    </cfRule>
  </conditionalFormatting>
  <conditionalFormatting sqref="M37">
    <cfRule type="expression" dxfId="509" priority="500" stopIfTrue="1">
      <formula>BZ37="0"</formula>
    </cfRule>
  </conditionalFormatting>
  <conditionalFormatting sqref="E37">
    <cfRule type="expression" dxfId="508" priority="498" stopIfTrue="1">
      <formula>AND(NOT($C37=""),E37="")</formula>
    </cfRule>
    <cfRule type="expression" dxfId="507" priority="499" stopIfTrue="1">
      <formula>AL37="0"</formula>
    </cfRule>
  </conditionalFormatting>
  <conditionalFormatting sqref="F37">
    <cfRule type="expression" dxfId="506" priority="496" stopIfTrue="1">
      <formula>AND(NOT($C37=""),F37="")</formula>
    </cfRule>
    <cfRule type="expression" dxfId="505" priority="497" stopIfTrue="1">
      <formula>AQ37="0"</formula>
    </cfRule>
  </conditionalFormatting>
  <conditionalFormatting sqref="G37">
    <cfRule type="expression" dxfId="504" priority="494" stopIfTrue="1">
      <formula>AND(NOT($C37=""),G37="")</formula>
    </cfRule>
    <cfRule type="expression" dxfId="503" priority="495" stopIfTrue="1">
      <formula>AV37="0"</formula>
    </cfRule>
  </conditionalFormatting>
  <conditionalFormatting sqref="H37">
    <cfRule type="expression" dxfId="502" priority="492" stopIfTrue="1">
      <formula>AND(NOT($C37=""),H37="")</formula>
    </cfRule>
    <cfRule type="expression" dxfId="501" priority="493" stopIfTrue="1">
      <formula>BA37="0"</formula>
    </cfRule>
  </conditionalFormatting>
  <conditionalFormatting sqref="I37">
    <cfRule type="expression" dxfId="500" priority="490" stopIfTrue="1">
      <formula>AND(NOT($C37=""),I37="")</formula>
    </cfRule>
    <cfRule type="expression" dxfId="499" priority="491" stopIfTrue="1">
      <formula>BF37="0"</formula>
    </cfRule>
  </conditionalFormatting>
  <conditionalFormatting sqref="J37">
    <cfRule type="expression" dxfId="498" priority="488" stopIfTrue="1">
      <formula>AND(NOT($C37=""),J37="")</formula>
    </cfRule>
    <cfRule type="expression" dxfId="497" priority="489" stopIfTrue="1">
      <formula>BK37="0"</formula>
    </cfRule>
  </conditionalFormatting>
  <conditionalFormatting sqref="K37">
    <cfRule type="expression" dxfId="496" priority="486" stopIfTrue="1">
      <formula>AND(NOT($C37=""),K37="")</formula>
    </cfRule>
    <cfRule type="expression" dxfId="495" priority="487" stopIfTrue="1">
      <formula>BP37="0"</formula>
    </cfRule>
  </conditionalFormatting>
  <conditionalFormatting sqref="L37">
    <cfRule type="expression" dxfId="494" priority="484" stopIfTrue="1">
      <formula>AND(NOT($C37=""),L37="")</formula>
    </cfRule>
    <cfRule type="expression" dxfId="493" priority="485" stopIfTrue="1">
      <formula>BU37="0"</formula>
    </cfRule>
  </conditionalFormatting>
  <conditionalFormatting sqref="N37">
    <cfRule type="expression" dxfId="492" priority="482" stopIfTrue="1">
      <formula>AND(NOT($C37=""),N37="")</formula>
    </cfRule>
    <cfRule type="expression" dxfId="491" priority="483" stopIfTrue="1">
      <formula>CE37="0"</formula>
    </cfRule>
  </conditionalFormatting>
  <conditionalFormatting sqref="M37">
    <cfRule type="expression" dxfId="490" priority="481" stopIfTrue="1">
      <formula>BZ37="0"</formula>
    </cfRule>
  </conditionalFormatting>
  <conditionalFormatting sqref="E37">
    <cfRule type="expression" dxfId="489" priority="479" stopIfTrue="1">
      <formula>AND(NOT($C37=""),E37="")</formula>
    </cfRule>
    <cfRule type="expression" dxfId="488" priority="480" stopIfTrue="1">
      <formula>AL37="0"</formula>
    </cfRule>
  </conditionalFormatting>
  <conditionalFormatting sqref="F37">
    <cfRule type="expression" dxfId="487" priority="477" stopIfTrue="1">
      <formula>AND(NOT($C37=""),F37="")</formula>
    </cfRule>
    <cfRule type="expression" dxfId="486" priority="478" stopIfTrue="1">
      <formula>AQ37="0"</formula>
    </cfRule>
  </conditionalFormatting>
  <conditionalFormatting sqref="G37">
    <cfRule type="expression" dxfId="485" priority="475" stopIfTrue="1">
      <formula>AND(NOT($C37=""),G37="")</formula>
    </cfRule>
    <cfRule type="expression" dxfId="484" priority="476" stopIfTrue="1">
      <formula>AV37="0"</formula>
    </cfRule>
  </conditionalFormatting>
  <conditionalFormatting sqref="H37">
    <cfRule type="expression" dxfId="483" priority="473" stopIfTrue="1">
      <formula>AND(NOT($C37=""),H37="")</formula>
    </cfRule>
    <cfRule type="expression" dxfId="482" priority="474" stopIfTrue="1">
      <formula>BA37="0"</formula>
    </cfRule>
  </conditionalFormatting>
  <conditionalFormatting sqref="I37">
    <cfRule type="expression" dxfId="481" priority="471" stopIfTrue="1">
      <formula>AND(NOT($C37=""),I37="")</formula>
    </cfRule>
    <cfRule type="expression" dxfId="480" priority="472" stopIfTrue="1">
      <formula>BF37="0"</formula>
    </cfRule>
  </conditionalFormatting>
  <conditionalFormatting sqref="J37">
    <cfRule type="expression" dxfId="479" priority="469" stopIfTrue="1">
      <formula>AND(NOT($C37=""),J37="")</formula>
    </cfRule>
    <cfRule type="expression" dxfId="478" priority="470" stopIfTrue="1">
      <formula>BK37="0"</formula>
    </cfRule>
  </conditionalFormatting>
  <conditionalFormatting sqref="K37">
    <cfRule type="expression" dxfId="477" priority="467" stopIfTrue="1">
      <formula>AND(NOT($C37=""),K37="")</formula>
    </cfRule>
    <cfRule type="expression" dxfId="476" priority="468" stopIfTrue="1">
      <formula>BP37="0"</formula>
    </cfRule>
  </conditionalFormatting>
  <conditionalFormatting sqref="L37">
    <cfRule type="expression" dxfId="475" priority="465" stopIfTrue="1">
      <formula>AND(NOT($C37=""),L37="")</formula>
    </cfRule>
    <cfRule type="expression" dxfId="474" priority="466" stopIfTrue="1">
      <formula>BU37="0"</formula>
    </cfRule>
  </conditionalFormatting>
  <conditionalFormatting sqref="N37">
    <cfRule type="expression" dxfId="473" priority="463" stopIfTrue="1">
      <formula>AND(NOT($C37=""),N37="")</formula>
    </cfRule>
    <cfRule type="expression" dxfId="472" priority="464" stopIfTrue="1">
      <formula>CE37="0"</formula>
    </cfRule>
  </conditionalFormatting>
  <conditionalFormatting sqref="M37">
    <cfRule type="expression" dxfId="471" priority="462" stopIfTrue="1">
      <formula>BZ37="0"</formula>
    </cfRule>
  </conditionalFormatting>
  <conditionalFormatting sqref="E37">
    <cfRule type="expression" dxfId="470" priority="460" stopIfTrue="1">
      <formula>AND(NOT($C37=""),E37="")</formula>
    </cfRule>
    <cfRule type="expression" dxfId="469" priority="461" stopIfTrue="1">
      <formula>AL37="0"</formula>
    </cfRule>
  </conditionalFormatting>
  <conditionalFormatting sqref="F37">
    <cfRule type="expression" dxfId="468" priority="458" stopIfTrue="1">
      <formula>AND(NOT($C37=""),F37="")</formula>
    </cfRule>
    <cfRule type="expression" dxfId="467" priority="459" stopIfTrue="1">
      <formula>AQ37="0"</formula>
    </cfRule>
  </conditionalFormatting>
  <conditionalFormatting sqref="G37">
    <cfRule type="expression" dxfId="466" priority="456" stopIfTrue="1">
      <formula>AND(NOT($C37=""),G37="")</formula>
    </cfRule>
    <cfRule type="expression" dxfId="465" priority="457" stopIfTrue="1">
      <formula>AV37="0"</formula>
    </cfRule>
  </conditionalFormatting>
  <conditionalFormatting sqref="H37">
    <cfRule type="expression" dxfId="464" priority="454" stopIfTrue="1">
      <formula>AND(NOT($C37=""),H37="")</formula>
    </cfRule>
    <cfRule type="expression" dxfId="463" priority="455" stopIfTrue="1">
      <formula>BA37="0"</formula>
    </cfRule>
  </conditionalFormatting>
  <conditionalFormatting sqref="I37">
    <cfRule type="expression" dxfId="462" priority="452" stopIfTrue="1">
      <formula>AND(NOT($C37=""),I37="")</formula>
    </cfRule>
    <cfRule type="expression" dxfId="461" priority="453" stopIfTrue="1">
      <formula>BF37="0"</formula>
    </cfRule>
  </conditionalFormatting>
  <conditionalFormatting sqref="J37">
    <cfRule type="expression" dxfId="460" priority="450" stopIfTrue="1">
      <formula>AND(NOT($C37=""),J37="")</formula>
    </cfRule>
    <cfRule type="expression" dxfId="459" priority="451" stopIfTrue="1">
      <formula>BK37="0"</formula>
    </cfRule>
  </conditionalFormatting>
  <conditionalFormatting sqref="K37">
    <cfRule type="expression" dxfId="458" priority="448" stopIfTrue="1">
      <formula>AND(NOT($C37=""),K37="")</formula>
    </cfRule>
    <cfRule type="expression" dxfId="457" priority="449" stopIfTrue="1">
      <formula>BP37="0"</formula>
    </cfRule>
  </conditionalFormatting>
  <conditionalFormatting sqref="L37">
    <cfRule type="expression" dxfId="456" priority="446" stopIfTrue="1">
      <formula>AND(NOT($C37=""),L37="")</formula>
    </cfRule>
    <cfRule type="expression" dxfId="455" priority="447" stopIfTrue="1">
      <formula>BU37="0"</formula>
    </cfRule>
  </conditionalFormatting>
  <conditionalFormatting sqref="N37">
    <cfRule type="expression" dxfId="454" priority="444" stopIfTrue="1">
      <formula>AND(NOT($C37=""),N37="")</formula>
    </cfRule>
    <cfRule type="expression" dxfId="453" priority="445" stopIfTrue="1">
      <formula>CE37="0"</formula>
    </cfRule>
  </conditionalFormatting>
  <conditionalFormatting sqref="M37">
    <cfRule type="expression" dxfId="452" priority="443" stopIfTrue="1">
      <formula>BZ37="0"</formula>
    </cfRule>
  </conditionalFormatting>
  <conditionalFormatting sqref="E37">
    <cfRule type="expression" dxfId="451" priority="441" stopIfTrue="1">
      <formula>AND(NOT($C37=""),E37="")</formula>
    </cfRule>
    <cfRule type="expression" dxfId="450" priority="442" stopIfTrue="1">
      <formula>AL37="0"</formula>
    </cfRule>
  </conditionalFormatting>
  <conditionalFormatting sqref="F37">
    <cfRule type="expression" dxfId="449" priority="439" stopIfTrue="1">
      <formula>AND(NOT($C37=""),F37="")</formula>
    </cfRule>
    <cfRule type="expression" dxfId="448" priority="440" stopIfTrue="1">
      <formula>AQ37="0"</formula>
    </cfRule>
  </conditionalFormatting>
  <conditionalFormatting sqref="G37">
    <cfRule type="expression" dxfId="447" priority="437" stopIfTrue="1">
      <formula>AND(NOT($C37=""),G37="")</formula>
    </cfRule>
    <cfRule type="expression" dxfId="446" priority="438" stopIfTrue="1">
      <formula>AV37="0"</formula>
    </cfRule>
  </conditionalFormatting>
  <conditionalFormatting sqref="H37">
    <cfRule type="expression" dxfId="445" priority="435" stopIfTrue="1">
      <formula>AND(NOT($C37=""),H37="")</formula>
    </cfRule>
    <cfRule type="expression" dxfId="444" priority="436" stopIfTrue="1">
      <formula>BA37="0"</formula>
    </cfRule>
  </conditionalFormatting>
  <conditionalFormatting sqref="I37">
    <cfRule type="expression" dxfId="443" priority="433" stopIfTrue="1">
      <formula>AND(NOT($C37=""),I37="")</formula>
    </cfRule>
    <cfRule type="expression" dxfId="442" priority="434" stopIfTrue="1">
      <formula>BF37="0"</formula>
    </cfRule>
  </conditionalFormatting>
  <conditionalFormatting sqref="J37">
    <cfRule type="expression" dxfId="441" priority="431" stopIfTrue="1">
      <formula>AND(NOT($C37=""),J37="")</formula>
    </cfRule>
    <cfRule type="expression" dxfId="440" priority="432" stopIfTrue="1">
      <formula>BK37="0"</formula>
    </cfRule>
  </conditionalFormatting>
  <conditionalFormatting sqref="K37">
    <cfRule type="expression" dxfId="439" priority="429" stopIfTrue="1">
      <formula>AND(NOT($C37=""),K37="")</formula>
    </cfRule>
    <cfRule type="expression" dxfId="438" priority="430" stopIfTrue="1">
      <formula>BP37="0"</formula>
    </cfRule>
  </conditionalFormatting>
  <conditionalFormatting sqref="L37">
    <cfRule type="expression" dxfId="437" priority="427" stopIfTrue="1">
      <formula>AND(NOT($C37=""),L37="")</formula>
    </cfRule>
    <cfRule type="expression" dxfId="436" priority="428" stopIfTrue="1">
      <formula>BU37="0"</formula>
    </cfRule>
  </conditionalFormatting>
  <conditionalFormatting sqref="N37">
    <cfRule type="expression" dxfId="435" priority="425" stopIfTrue="1">
      <formula>AND(NOT($C37=""),N37="")</formula>
    </cfRule>
    <cfRule type="expression" dxfId="434" priority="426" stopIfTrue="1">
      <formula>CE37="0"</formula>
    </cfRule>
  </conditionalFormatting>
  <conditionalFormatting sqref="M37">
    <cfRule type="expression" dxfId="433" priority="424" stopIfTrue="1">
      <formula>BZ37="0"</formula>
    </cfRule>
  </conditionalFormatting>
  <conditionalFormatting sqref="E37">
    <cfRule type="expression" dxfId="432" priority="422" stopIfTrue="1">
      <formula>AND(NOT($C37=""),E37="")</formula>
    </cfRule>
    <cfRule type="expression" dxfId="431" priority="423" stopIfTrue="1">
      <formula>AL37="0"</formula>
    </cfRule>
  </conditionalFormatting>
  <conditionalFormatting sqref="F37">
    <cfRule type="expression" dxfId="430" priority="420" stopIfTrue="1">
      <formula>AND(NOT($C37=""),F37="")</formula>
    </cfRule>
    <cfRule type="expression" dxfId="429" priority="421" stopIfTrue="1">
      <formula>AQ37="0"</formula>
    </cfRule>
  </conditionalFormatting>
  <conditionalFormatting sqref="G37">
    <cfRule type="expression" dxfId="428" priority="418" stopIfTrue="1">
      <formula>AND(NOT($C37=""),G37="")</formula>
    </cfRule>
    <cfRule type="expression" dxfId="427" priority="419" stopIfTrue="1">
      <formula>AV37="0"</formula>
    </cfRule>
  </conditionalFormatting>
  <conditionalFormatting sqref="H37">
    <cfRule type="expression" dxfId="426" priority="416" stopIfTrue="1">
      <formula>AND(NOT($C37=""),H37="")</formula>
    </cfRule>
    <cfRule type="expression" dxfId="425" priority="417" stopIfTrue="1">
      <formula>BA37="0"</formula>
    </cfRule>
  </conditionalFormatting>
  <conditionalFormatting sqref="I37">
    <cfRule type="expression" dxfId="424" priority="414" stopIfTrue="1">
      <formula>AND(NOT($C37=""),I37="")</formula>
    </cfRule>
    <cfRule type="expression" dxfId="423" priority="415" stopIfTrue="1">
      <formula>BF37="0"</formula>
    </cfRule>
  </conditionalFormatting>
  <conditionalFormatting sqref="J37">
    <cfRule type="expression" dxfId="422" priority="412" stopIfTrue="1">
      <formula>AND(NOT($C37=""),J37="")</formula>
    </cfRule>
    <cfRule type="expression" dxfId="421" priority="413" stopIfTrue="1">
      <formula>BK37="0"</formula>
    </cfRule>
  </conditionalFormatting>
  <conditionalFormatting sqref="K37">
    <cfRule type="expression" dxfId="420" priority="410" stopIfTrue="1">
      <formula>AND(NOT($C37=""),K37="")</formula>
    </cfRule>
    <cfRule type="expression" dxfId="419" priority="411" stopIfTrue="1">
      <formula>BP37="0"</formula>
    </cfRule>
  </conditionalFormatting>
  <conditionalFormatting sqref="L37">
    <cfRule type="expression" dxfId="418" priority="408" stopIfTrue="1">
      <formula>AND(NOT($C37=""),L37="")</formula>
    </cfRule>
    <cfRule type="expression" dxfId="417" priority="409" stopIfTrue="1">
      <formula>BU37="0"</formula>
    </cfRule>
  </conditionalFormatting>
  <conditionalFormatting sqref="N37">
    <cfRule type="expression" dxfId="416" priority="406" stopIfTrue="1">
      <formula>AND(NOT($C37=""),N37="")</formula>
    </cfRule>
    <cfRule type="expression" dxfId="415" priority="407" stopIfTrue="1">
      <formula>CE37="0"</formula>
    </cfRule>
  </conditionalFormatting>
  <conditionalFormatting sqref="M37">
    <cfRule type="expression" dxfId="414" priority="405" stopIfTrue="1">
      <formula>BZ37="0"</formula>
    </cfRule>
  </conditionalFormatting>
  <conditionalFormatting sqref="E37">
    <cfRule type="expression" dxfId="413" priority="403" stopIfTrue="1">
      <formula>AND(NOT($C37=""),E37="")</formula>
    </cfRule>
    <cfRule type="expression" dxfId="412" priority="404" stopIfTrue="1">
      <formula>AL37="0"</formula>
    </cfRule>
  </conditionalFormatting>
  <conditionalFormatting sqref="F37">
    <cfRule type="expression" dxfId="411" priority="401" stopIfTrue="1">
      <formula>AND(NOT($C37=""),F37="")</formula>
    </cfRule>
    <cfRule type="expression" dxfId="410" priority="402" stopIfTrue="1">
      <formula>AQ37="0"</formula>
    </cfRule>
  </conditionalFormatting>
  <conditionalFormatting sqref="G37">
    <cfRule type="expression" dxfId="409" priority="399" stopIfTrue="1">
      <formula>AND(NOT($C37=""),G37="")</formula>
    </cfRule>
    <cfRule type="expression" dxfId="408" priority="400" stopIfTrue="1">
      <formula>AV37="0"</formula>
    </cfRule>
  </conditionalFormatting>
  <conditionalFormatting sqref="H37">
    <cfRule type="expression" dxfId="407" priority="397" stopIfTrue="1">
      <formula>AND(NOT($C37=""),H37="")</formula>
    </cfRule>
    <cfRule type="expression" dxfId="406" priority="398" stopIfTrue="1">
      <formula>BA37="0"</formula>
    </cfRule>
  </conditionalFormatting>
  <conditionalFormatting sqref="I37">
    <cfRule type="expression" dxfId="405" priority="395" stopIfTrue="1">
      <formula>AND(NOT($C37=""),I37="")</formula>
    </cfRule>
    <cfRule type="expression" dxfId="404" priority="396" stopIfTrue="1">
      <formula>BF37="0"</formula>
    </cfRule>
  </conditionalFormatting>
  <conditionalFormatting sqref="J37">
    <cfRule type="expression" dxfId="403" priority="393" stopIfTrue="1">
      <formula>AND(NOT($C37=""),J37="")</formula>
    </cfRule>
    <cfRule type="expression" dxfId="402" priority="394" stopIfTrue="1">
      <formula>BK37="0"</formula>
    </cfRule>
  </conditionalFormatting>
  <conditionalFormatting sqref="K37">
    <cfRule type="expression" dxfId="401" priority="391" stopIfTrue="1">
      <formula>AND(NOT($C37=""),K37="")</formula>
    </cfRule>
    <cfRule type="expression" dxfId="400" priority="392" stopIfTrue="1">
      <formula>BP37="0"</formula>
    </cfRule>
  </conditionalFormatting>
  <conditionalFormatting sqref="L37">
    <cfRule type="expression" dxfId="399" priority="389" stopIfTrue="1">
      <formula>AND(NOT($C37=""),L37="")</formula>
    </cfRule>
    <cfRule type="expression" dxfId="398" priority="390" stopIfTrue="1">
      <formula>BU37="0"</formula>
    </cfRule>
  </conditionalFormatting>
  <conditionalFormatting sqref="N37">
    <cfRule type="expression" dxfId="397" priority="387" stopIfTrue="1">
      <formula>AND(NOT($C37=""),N37="")</formula>
    </cfRule>
    <cfRule type="expression" dxfId="396" priority="388" stopIfTrue="1">
      <formula>CE37="0"</formula>
    </cfRule>
  </conditionalFormatting>
  <conditionalFormatting sqref="M37">
    <cfRule type="expression" dxfId="395" priority="386" stopIfTrue="1">
      <formula>BZ37="0"</formula>
    </cfRule>
  </conditionalFormatting>
  <conditionalFormatting sqref="E37">
    <cfRule type="expression" dxfId="394" priority="384" stopIfTrue="1">
      <formula>AND(NOT($C37=""),E37="")</formula>
    </cfRule>
    <cfRule type="expression" dxfId="393" priority="385" stopIfTrue="1">
      <formula>AL37="0"</formula>
    </cfRule>
  </conditionalFormatting>
  <conditionalFormatting sqref="F37">
    <cfRule type="expression" dxfId="392" priority="382" stopIfTrue="1">
      <formula>AND(NOT($C37=""),F37="")</formula>
    </cfRule>
    <cfRule type="expression" dxfId="391" priority="383" stopIfTrue="1">
      <formula>AQ37="0"</formula>
    </cfRule>
  </conditionalFormatting>
  <conditionalFormatting sqref="G37">
    <cfRule type="expression" dxfId="390" priority="380" stopIfTrue="1">
      <formula>AND(NOT($C37=""),G37="")</formula>
    </cfRule>
    <cfRule type="expression" dxfId="389" priority="381" stopIfTrue="1">
      <formula>AV37="0"</formula>
    </cfRule>
  </conditionalFormatting>
  <conditionalFormatting sqref="H37">
    <cfRule type="expression" dxfId="388" priority="378" stopIfTrue="1">
      <formula>AND(NOT($C37=""),H37="")</formula>
    </cfRule>
    <cfRule type="expression" dxfId="387" priority="379" stopIfTrue="1">
      <formula>BA37="0"</formula>
    </cfRule>
  </conditionalFormatting>
  <conditionalFormatting sqref="I37">
    <cfRule type="expression" dxfId="386" priority="376" stopIfTrue="1">
      <formula>AND(NOT($C37=""),I37="")</formula>
    </cfRule>
    <cfRule type="expression" dxfId="385" priority="377" stopIfTrue="1">
      <formula>BF37="0"</formula>
    </cfRule>
  </conditionalFormatting>
  <conditionalFormatting sqref="J37">
    <cfRule type="expression" dxfId="384" priority="374" stopIfTrue="1">
      <formula>AND(NOT($C37=""),J37="")</formula>
    </cfRule>
    <cfRule type="expression" dxfId="383" priority="375" stopIfTrue="1">
      <formula>BK37="0"</formula>
    </cfRule>
  </conditionalFormatting>
  <conditionalFormatting sqref="K37">
    <cfRule type="expression" dxfId="382" priority="372" stopIfTrue="1">
      <formula>AND(NOT($C37=""),K37="")</formula>
    </cfRule>
    <cfRule type="expression" dxfId="381" priority="373" stopIfTrue="1">
      <formula>BP37="0"</formula>
    </cfRule>
  </conditionalFormatting>
  <conditionalFormatting sqref="L37">
    <cfRule type="expression" dxfId="380" priority="370" stopIfTrue="1">
      <formula>AND(NOT($C37=""),L37="")</formula>
    </cfRule>
    <cfRule type="expression" dxfId="379" priority="371" stopIfTrue="1">
      <formula>BU37="0"</formula>
    </cfRule>
  </conditionalFormatting>
  <conditionalFormatting sqref="N37">
    <cfRule type="expression" dxfId="378" priority="368" stopIfTrue="1">
      <formula>AND(NOT($C37=""),N37="")</formula>
    </cfRule>
    <cfRule type="expression" dxfId="377" priority="369" stopIfTrue="1">
      <formula>CE37="0"</formula>
    </cfRule>
  </conditionalFormatting>
  <conditionalFormatting sqref="M37">
    <cfRule type="expression" dxfId="376" priority="367" stopIfTrue="1">
      <formula>BZ37="0"</formula>
    </cfRule>
  </conditionalFormatting>
  <conditionalFormatting sqref="E37">
    <cfRule type="expression" dxfId="375" priority="365" stopIfTrue="1">
      <formula>AND(NOT($C37=""),E37="")</formula>
    </cfRule>
    <cfRule type="expression" dxfId="374" priority="366" stopIfTrue="1">
      <formula>AL37="0"</formula>
    </cfRule>
  </conditionalFormatting>
  <conditionalFormatting sqref="F37">
    <cfRule type="expression" dxfId="373" priority="363" stopIfTrue="1">
      <formula>AND(NOT($C37=""),F37="")</formula>
    </cfRule>
    <cfRule type="expression" dxfId="372" priority="364" stopIfTrue="1">
      <formula>AQ37="0"</formula>
    </cfRule>
  </conditionalFormatting>
  <conditionalFormatting sqref="G37">
    <cfRule type="expression" dxfId="371" priority="361" stopIfTrue="1">
      <formula>AND(NOT($C37=""),G37="")</formula>
    </cfRule>
    <cfRule type="expression" dxfId="370" priority="362" stopIfTrue="1">
      <formula>AV37="0"</formula>
    </cfRule>
  </conditionalFormatting>
  <conditionalFormatting sqref="H37">
    <cfRule type="expression" dxfId="369" priority="359" stopIfTrue="1">
      <formula>AND(NOT($C37=""),H37="")</formula>
    </cfRule>
    <cfRule type="expression" dxfId="368" priority="360" stopIfTrue="1">
      <formula>BA37="0"</formula>
    </cfRule>
  </conditionalFormatting>
  <conditionalFormatting sqref="I37">
    <cfRule type="expression" dxfId="367" priority="357" stopIfTrue="1">
      <formula>AND(NOT($C37=""),I37="")</formula>
    </cfRule>
    <cfRule type="expression" dxfId="366" priority="358" stopIfTrue="1">
      <formula>BF37="0"</formula>
    </cfRule>
  </conditionalFormatting>
  <conditionalFormatting sqref="J37">
    <cfRule type="expression" dxfId="365" priority="355" stopIfTrue="1">
      <formula>AND(NOT($C37=""),J37="")</formula>
    </cfRule>
    <cfRule type="expression" dxfId="364" priority="356" stopIfTrue="1">
      <formula>BK37="0"</formula>
    </cfRule>
  </conditionalFormatting>
  <conditionalFormatting sqref="K37">
    <cfRule type="expression" dxfId="363" priority="353" stopIfTrue="1">
      <formula>AND(NOT($C37=""),K37="")</formula>
    </cfRule>
    <cfRule type="expression" dxfId="362" priority="354" stopIfTrue="1">
      <formula>BP37="0"</formula>
    </cfRule>
  </conditionalFormatting>
  <conditionalFormatting sqref="L37">
    <cfRule type="expression" dxfId="361" priority="351" stopIfTrue="1">
      <formula>AND(NOT($C37=""),L37="")</formula>
    </cfRule>
    <cfRule type="expression" dxfId="360" priority="352" stopIfTrue="1">
      <formula>BU37="0"</formula>
    </cfRule>
  </conditionalFormatting>
  <conditionalFormatting sqref="N37">
    <cfRule type="expression" dxfId="359" priority="349" stopIfTrue="1">
      <formula>AND(NOT($C37=""),N37="")</formula>
    </cfRule>
    <cfRule type="expression" dxfId="358" priority="350" stopIfTrue="1">
      <formula>CE37="0"</formula>
    </cfRule>
  </conditionalFormatting>
  <conditionalFormatting sqref="M37">
    <cfRule type="expression" dxfId="357" priority="348" stopIfTrue="1">
      <formula>BZ37="0"</formula>
    </cfRule>
  </conditionalFormatting>
  <conditionalFormatting sqref="E37">
    <cfRule type="expression" dxfId="356" priority="346" stopIfTrue="1">
      <formula>AND(NOT($C37=""),E37="")</formula>
    </cfRule>
    <cfRule type="expression" dxfId="355" priority="347" stopIfTrue="1">
      <formula>AL37="0"</formula>
    </cfRule>
  </conditionalFormatting>
  <conditionalFormatting sqref="F37">
    <cfRule type="expression" dxfId="354" priority="344" stopIfTrue="1">
      <formula>AND(NOT($C37=""),F37="")</formula>
    </cfRule>
    <cfRule type="expression" dxfId="353" priority="345" stopIfTrue="1">
      <formula>AQ37="0"</formula>
    </cfRule>
  </conditionalFormatting>
  <conditionalFormatting sqref="G37">
    <cfRule type="expression" dxfId="352" priority="342" stopIfTrue="1">
      <formula>AND(NOT($C37=""),G37="")</formula>
    </cfRule>
    <cfRule type="expression" dxfId="351" priority="343" stopIfTrue="1">
      <formula>AV37="0"</formula>
    </cfRule>
  </conditionalFormatting>
  <conditionalFormatting sqref="H37">
    <cfRule type="expression" dxfId="350" priority="340" stopIfTrue="1">
      <formula>AND(NOT($C37=""),H37="")</formula>
    </cfRule>
    <cfRule type="expression" dxfId="349" priority="341" stopIfTrue="1">
      <formula>BA37="0"</formula>
    </cfRule>
  </conditionalFormatting>
  <conditionalFormatting sqref="I37">
    <cfRule type="expression" dxfId="348" priority="338" stopIfTrue="1">
      <formula>AND(NOT($C37=""),I37="")</formula>
    </cfRule>
    <cfRule type="expression" dxfId="347" priority="339" stopIfTrue="1">
      <formula>BF37="0"</formula>
    </cfRule>
  </conditionalFormatting>
  <conditionalFormatting sqref="J37">
    <cfRule type="expression" dxfId="346" priority="336" stopIfTrue="1">
      <formula>AND(NOT($C37=""),J37="")</formula>
    </cfRule>
    <cfRule type="expression" dxfId="345" priority="337" stopIfTrue="1">
      <formula>BK37="0"</formula>
    </cfRule>
  </conditionalFormatting>
  <conditionalFormatting sqref="K37">
    <cfRule type="expression" dxfId="344" priority="334" stopIfTrue="1">
      <formula>AND(NOT($C37=""),K37="")</formula>
    </cfRule>
    <cfRule type="expression" dxfId="343" priority="335" stopIfTrue="1">
      <formula>BP37="0"</formula>
    </cfRule>
  </conditionalFormatting>
  <conditionalFormatting sqref="L37">
    <cfRule type="expression" dxfId="342" priority="332" stopIfTrue="1">
      <formula>AND(NOT($C37=""),L37="")</formula>
    </cfRule>
    <cfRule type="expression" dxfId="341" priority="333" stopIfTrue="1">
      <formula>BU37="0"</formula>
    </cfRule>
  </conditionalFormatting>
  <conditionalFormatting sqref="N37">
    <cfRule type="expression" dxfId="340" priority="330" stopIfTrue="1">
      <formula>AND(NOT($C37=""),N37="")</formula>
    </cfRule>
    <cfRule type="expression" dxfId="339" priority="331" stopIfTrue="1">
      <formula>CE37="0"</formula>
    </cfRule>
  </conditionalFormatting>
  <conditionalFormatting sqref="M37">
    <cfRule type="expression" dxfId="338" priority="329" stopIfTrue="1">
      <formula>BZ37="0"</formula>
    </cfRule>
  </conditionalFormatting>
  <conditionalFormatting sqref="E37">
    <cfRule type="expression" dxfId="337" priority="327" stopIfTrue="1">
      <formula>AND(NOT($C37=""),E37="")</formula>
    </cfRule>
    <cfRule type="expression" dxfId="336" priority="328" stopIfTrue="1">
      <formula>AL37="0"</formula>
    </cfRule>
  </conditionalFormatting>
  <conditionalFormatting sqref="F37">
    <cfRule type="expression" dxfId="335" priority="325" stopIfTrue="1">
      <formula>AND(NOT($C37=""),F37="")</formula>
    </cfRule>
    <cfRule type="expression" dxfId="334" priority="326" stopIfTrue="1">
      <formula>AQ37="0"</formula>
    </cfRule>
  </conditionalFormatting>
  <conditionalFormatting sqref="G37">
    <cfRule type="expression" dxfId="333" priority="323" stopIfTrue="1">
      <formula>AND(NOT($C37=""),G37="")</formula>
    </cfRule>
    <cfRule type="expression" dxfId="332" priority="324" stopIfTrue="1">
      <formula>AV37="0"</formula>
    </cfRule>
  </conditionalFormatting>
  <conditionalFormatting sqref="H37">
    <cfRule type="expression" dxfId="331" priority="321" stopIfTrue="1">
      <formula>AND(NOT($C37=""),H37="")</formula>
    </cfRule>
    <cfRule type="expression" dxfId="330" priority="322" stopIfTrue="1">
      <formula>BA37="0"</formula>
    </cfRule>
  </conditionalFormatting>
  <conditionalFormatting sqref="I37">
    <cfRule type="expression" dxfId="329" priority="319" stopIfTrue="1">
      <formula>AND(NOT($C37=""),I37="")</formula>
    </cfRule>
    <cfRule type="expression" dxfId="328" priority="320" stopIfTrue="1">
      <formula>BF37="0"</formula>
    </cfRule>
  </conditionalFormatting>
  <conditionalFormatting sqref="J37">
    <cfRule type="expression" dxfId="327" priority="317" stopIfTrue="1">
      <formula>AND(NOT($C37=""),J37="")</formula>
    </cfRule>
    <cfRule type="expression" dxfId="326" priority="318" stopIfTrue="1">
      <formula>BK37="0"</formula>
    </cfRule>
  </conditionalFormatting>
  <conditionalFormatting sqref="K37">
    <cfRule type="expression" dxfId="325" priority="315" stopIfTrue="1">
      <formula>AND(NOT($C37=""),K37="")</formula>
    </cfRule>
    <cfRule type="expression" dxfId="324" priority="316" stopIfTrue="1">
      <formula>BP37="0"</formula>
    </cfRule>
  </conditionalFormatting>
  <conditionalFormatting sqref="L37">
    <cfRule type="expression" dxfId="323" priority="313" stopIfTrue="1">
      <formula>AND(NOT($C37=""),L37="")</formula>
    </cfRule>
    <cfRule type="expression" dxfId="322" priority="314" stopIfTrue="1">
      <formula>BU37="0"</formula>
    </cfRule>
  </conditionalFormatting>
  <conditionalFormatting sqref="N37">
    <cfRule type="expression" dxfId="321" priority="311" stopIfTrue="1">
      <formula>AND(NOT($C37=""),N37="")</formula>
    </cfRule>
    <cfRule type="expression" dxfId="320" priority="312" stopIfTrue="1">
      <formula>CE37="0"</formula>
    </cfRule>
  </conditionalFormatting>
  <conditionalFormatting sqref="M37">
    <cfRule type="expression" dxfId="319" priority="310" stopIfTrue="1">
      <formula>BZ37="0"</formula>
    </cfRule>
  </conditionalFormatting>
  <conditionalFormatting sqref="E37">
    <cfRule type="expression" dxfId="318" priority="308" stopIfTrue="1">
      <formula>AND(NOT($C37=""),E37="")</formula>
    </cfRule>
    <cfRule type="expression" dxfId="317" priority="309" stopIfTrue="1">
      <formula>AL37="0"</formula>
    </cfRule>
  </conditionalFormatting>
  <conditionalFormatting sqref="F37">
    <cfRule type="expression" dxfId="316" priority="306" stopIfTrue="1">
      <formula>AND(NOT($C37=""),F37="")</formula>
    </cfRule>
    <cfRule type="expression" dxfId="315" priority="307" stopIfTrue="1">
      <formula>AQ37="0"</formula>
    </cfRule>
  </conditionalFormatting>
  <conditionalFormatting sqref="G37">
    <cfRule type="expression" dxfId="314" priority="304" stopIfTrue="1">
      <formula>AND(NOT($C37=""),G37="")</formula>
    </cfRule>
    <cfRule type="expression" dxfId="313" priority="305" stopIfTrue="1">
      <formula>AV37="0"</formula>
    </cfRule>
  </conditionalFormatting>
  <conditionalFormatting sqref="H37">
    <cfRule type="expression" dxfId="312" priority="302" stopIfTrue="1">
      <formula>AND(NOT($C37=""),H37="")</formula>
    </cfRule>
    <cfRule type="expression" dxfId="311" priority="303" stopIfTrue="1">
      <formula>BA37="0"</formula>
    </cfRule>
  </conditionalFormatting>
  <conditionalFormatting sqref="I37">
    <cfRule type="expression" dxfId="310" priority="300" stopIfTrue="1">
      <formula>AND(NOT($C37=""),I37="")</formula>
    </cfRule>
    <cfRule type="expression" dxfId="309" priority="301" stopIfTrue="1">
      <formula>BF37="0"</formula>
    </cfRule>
  </conditionalFormatting>
  <conditionalFormatting sqref="J37">
    <cfRule type="expression" dxfId="308" priority="298" stopIfTrue="1">
      <formula>AND(NOT($C37=""),J37="")</formula>
    </cfRule>
    <cfRule type="expression" dxfId="307" priority="299" stopIfTrue="1">
      <formula>BK37="0"</formula>
    </cfRule>
  </conditionalFormatting>
  <conditionalFormatting sqref="K37">
    <cfRule type="expression" dxfId="306" priority="296" stopIfTrue="1">
      <formula>AND(NOT($C37=""),K37="")</formula>
    </cfRule>
    <cfRule type="expression" dxfId="305" priority="297" stopIfTrue="1">
      <formula>BP37="0"</formula>
    </cfRule>
  </conditionalFormatting>
  <conditionalFormatting sqref="L37">
    <cfRule type="expression" dxfId="304" priority="294" stopIfTrue="1">
      <formula>AND(NOT($C37=""),L37="")</formula>
    </cfRule>
    <cfRule type="expression" dxfId="303" priority="295" stopIfTrue="1">
      <formula>BU37="0"</formula>
    </cfRule>
  </conditionalFormatting>
  <conditionalFormatting sqref="N37">
    <cfRule type="expression" dxfId="302" priority="292" stopIfTrue="1">
      <formula>AND(NOT($C37=""),N37="")</formula>
    </cfRule>
    <cfRule type="expression" dxfId="301" priority="293" stopIfTrue="1">
      <formula>CE37="0"</formula>
    </cfRule>
  </conditionalFormatting>
  <conditionalFormatting sqref="M37">
    <cfRule type="expression" dxfId="300" priority="291" stopIfTrue="1">
      <formula>BZ37="0"</formula>
    </cfRule>
  </conditionalFormatting>
  <conditionalFormatting sqref="E37">
    <cfRule type="expression" dxfId="299" priority="289" stopIfTrue="1">
      <formula>AND(NOT($C37=""),E37="")</formula>
    </cfRule>
    <cfRule type="expression" dxfId="298" priority="290" stopIfTrue="1">
      <formula>AL37="0"</formula>
    </cfRule>
  </conditionalFormatting>
  <conditionalFormatting sqref="F37">
    <cfRule type="expression" dxfId="297" priority="287" stopIfTrue="1">
      <formula>AND(NOT($C37=""),F37="")</formula>
    </cfRule>
    <cfRule type="expression" dxfId="296" priority="288" stopIfTrue="1">
      <formula>AQ37="0"</formula>
    </cfRule>
  </conditionalFormatting>
  <conditionalFormatting sqref="G37">
    <cfRule type="expression" dxfId="295" priority="285" stopIfTrue="1">
      <formula>AND(NOT($C37=""),G37="")</formula>
    </cfRule>
    <cfRule type="expression" dxfId="294" priority="286" stopIfTrue="1">
      <formula>AV37="0"</formula>
    </cfRule>
  </conditionalFormatting>
  <conditionalFormatting sqref="H37">
    <cfRule type="expression" dxfId="293" priority="283" stopIfTrue="1">
      <formula>AND(NOT($C37=""),H37="")</formula>
    </cfRule>
    <cfRule type="expression" dxfId="292" priority="284" stopIfTrue="1">
      <formula>BA37="0"</formula>
    </cfRule>
  </conditionalFormatting>
  <conditionalFormatting sqref="I37">
    <cfRule type="expression" dxfId="291" priority="281" stopIfTrue="1">
      <formula>AND(NOT($C37=""),I37="")</formula>
    </cfRule>
    <cfRule type="expression" dxfId="290" priority="282" stopIfTrue="1">
      <formula>BF37="0"</formula>
    </cfRule>
  </conditionalFormatting>
  <conditionalFormatting sqref="J37">
    <cfRule type="expression" dxfId="289" priority="279" stopIfTrue="1">
      <formula>AND(NOT($C37=""),J37="")</formula>
    </cfRule>
    <cfRule type="expression" dxfId="288" priority="280" stopIfTrue="1">
      <formula>BK37="0"</formula>
    </cfRule>
  </conditionalFormatting>
  <conditionalFormatting sqref="K37">
    <cfRule type="expression" dxfId="287" priority="277" stopIfTrue="1">
      <formula>AND(NOT($C37=""),K37="")</formula>
    </cfRule>
    <cfRule type="expression" dxfId="286" priority="278" stopIfTrue="1">
      <formula>BP37="0"</formula>
    </cfRule>
  </conditionalFormatting>
  <conditionalFormatting sqref="L37">
    <cfRule type="expression" dxfId="285" priority="275" stopIfTrue="1">
      <formula>AND(NOT($C37=""),L37="")</formula>
    </cfRule>
    <cfRule type="expression" dxfId="284" priority="276" stopIfTrue="1">
      <formula>BU37="0"</formula>
    </cfRule>
  </conditionalFormatting>
  <conditionalFormatting sqref="N37">
    <cfRule type="expression" dxfId="283" priority="273" stopIfTrue="1">
      <formula>AND(NOT($C37=""),N37="")</formula>
    </cfRule>
    <cfRule type="expression" dxfId="282" priority="274" stopIfTrue="1">
      <formula>CE37="0"</formula>
    </cfRule>
  </conditionalFormatting>
  <conditionalFormatting sqref="M37">
    <cfRule type="expression" dxfId="281" priority="272" stopIfTrue="1">
      <formula>BZ37="0"</formula>
    </cfRule>
  </conditionalFormatting>
  <conditionalFormatting sqref="E37">
    <cfRule type="expression" dxfId="280" priority="270" stopIfTrue="1">
      <formula>AND(NOT($C37=""),E37="")</formula>
    </cfRule>
    <cfRule type="expression" dxfId="279" priority="271" stopIfTrue="1">
      <formula>AL37="0"</formula>
    </cfRule>
  </conditionalFormatting>
  <conditionalFormatting sqref="F37">
    <cfRule type="expression" dxfId="278" priority="268" stopIfTrue="1">
      <formula>AND(NOT($C37=""),F37="")</formula>
    </cfRule>
    <cfRule type="expression" dxfId="277" priority="269" stopIfTrue="1">
      <formula>AQ37="0"</formula>
    </cfRule>
  </conditionalFormatting>
  <conditionalFormatting sqref="G37">
    <cfRule type="expression" dxfId="276" priority="266" stopIfTrue="1">
      <formula>AND(NOT($C37=""),G37="")</formula>
    </cfRule>
    <cfRule type="expression" dxfId="275" priority="267" stopIfTrue="1">
      <formula>AV37="0"</formula>
    </cfRule>
  </conditionalFormatting>
  <conditionalFormatting sqref="H37">
    <cfRule type="expression" dxfId="274" priority="264" stopIfTrue="1">
      <formula>AND(NOT($C37=""),H37="")</formula>
    </cfRule>
    <cfRule type="expression" dxfId="273" priority="265" stopIfTrue="1">
      <formula>BA37="0"</formula>
    </cfRule>
  </conditionalFormatting>
  <conditionalFormatting sqref="I37">
    <cfRule type="expression" dxfId="272" priority="262" stopIfTrue="1">
      <formula>AND(NOT($C37=""),I37="")</formula>
    </cfRule>
    <cfRule type="expression" dxfId="271" priority="263" stopIfTrue="1">
      <formula>BF37="0"</formula>
    </cfRule>
  </conditionalFormatting>
  <conditionalFormatting sqref="J37">
    <cfRule type="expression" dxfId="270" priority="260" stopIfTrue="1">
      <formula>AND(NOT($C37=""),J37="")</formula>
    </cfRule>
    <cfRule type="expression" dxfId="269" priority="261" stopIfTrue="1">
      <formula>BK37="0"</formula>
    </cfRule>
  </conditionalFormatting>
  <conditionalFormatting sqref="K37">
    <cfRule type="expression" dxfId="268" priority="258" stopIfTrue="1">
      <formula>AND(NOT($C37=""),K37="")</formula>
    </cfRule>
    <cfRule type="expression" dxfId="267" priority="259" stopIfTrue="1">
      <formula>BP37="0"</formula>
    </cfRule>
  </conditionalFormatting>
  <conditionalFormatting sqref="L37">
    <cfRule type="expression" dxfId="266" priority="256" stopIfTrue="1">
      <formula>AND(NOT($C37=""),L37="")</formula>
    </cfRule>
    <cfRule type="expression" dxfId="265" priority="257" stopIfTrue="1">
      <formula>BU37="0"</formula>
    </cfRule>
  </conditionalFormatting>
  <conditionalFormatting sqref="N37">
    <cfRule type="expression" dxfId="264" priority="254" stopIfTrue="1">
      <formula>AND(NOT($C37=""),N37="")</formula>
    </cfRule>
    <cfRule type="expression" dxfId="263" priority="255" stopIfTrue="1">
      <formula>CE37="0"</formula>
    </cfRule>
  </conditionalFormatting>
  <conditionalFormatting sqref="M37">
    <cfRule type="expression" dxfId="262" priority="253" stopIfTrue="1">
      <formula>BZ37="0"</formula>
    </cfRule>
  </conditionalFormatting>
  <conditionalFormatting sqref="E37">
    <cfRule type="expression" dxfId="261" priority="251" stopIfTrue="1">
      <formula>AND(NOT($C37=""),E37="")</formula>
    </cfRule>
    <cfRule type="expression" dxfId="260" priority="252" stopIfTrue="1">
      <formula>AL37="0"</formula>
    </cfRule>
  </conditionalFormatting>
  <conditionalFormatting sqref="F37">
    <cfRule type="expression" dxfId="259" priority="249" stopIfTrue="1">
      <formula>AND(NOT($C37=""),F37="")</formula>
    </cfRule>
    <cfRule type="expression" dxfId="258" priority="250" stopIfTrue="1">
      <formula>AQ37="0"</formula>
    </cfRule>
  </conditionalFormatting>
  <conditionalFormatting sqref="G37">
    <cfRule type="expression" dxfId="257" priority="247" stopIfTrue="1">
      <formula>AND(NOT($C37=""),G37="")</formula>
    </cfRule>
    <cfRule type="expression" dxfId="256" priority="248" stopIfTrue="1">
      <formula>AV37="0"</formula>
    </cfRule>
  </conditionalFormatting>
  <conditionalFormatting sqref="H37">
    <cfRule type="expression" dxfId="255" priority="245" stopIfTrue="1">
      <formula>AND(NOT($C37=""),H37="")</formula>
    </cfRule>
    <cfRule type="expression" dxfId="254" priority="246" stopIfTrue="1">
      <formula>BA37="0"</formula>
    </cfRule>
  </conditionalFormatting>
  <conditionalFormatting sqref="I37">
    <cfRule type="expression" dxfId="253" priority="243" stopIfTrue="1">
      <formula>AND(NOT($C37=""),I37="")</formula>
    </cfRule>
    <cfRule type="expression" dxfId="252" priority="244" stopIfTrue="1">
      <formula>BF37="0"</formula>
    </cfRule>
  </conditionalFormatting>
  <conditionalFormatting sqref="J37">
    <cfRule type="expression" dxfId="251" priority="241" stopIfTrue="1">
      <formula>AND(NOT($C37=""),J37="")</formula>
    </cfRule>
    <cfRule type="expression" dxfId="250" priority="242" stopIfTrue="1">
      <formula>BK37="0"</formula>
    </cfRule>
  </conditionalFormatting>
  <conditionalFormatting sqref="K37">
    <cfRule type="expression" dxfId="249" priority="239" stopIfTrue="1">
      <formula>AND(NOT($C37=""),K37="")</formula>
    </cfRule>
    <cfRule type="expression" dxfId="248" priority="240" stopIfTrue="1">
      <formula>BP37="0"</formula>
    </cfRule>
  </conditionalFormatting>
  <conditionalFormatting sqref="L37">
    <cfRule type="expression" dxfId="247" priority="237" stopIfTrue="1">
      <formula>AND(NOT($C37=""),L37="")</formula>
    </cfRule>
    <cfRule type="expression" dxfId="246" priority="238" stopIfTrue="1">
      <formula>BU37="0"</formula>
    </cfRule>
  </conditionalFormatting>
  <conditionalFormatting sqref="N37">
    <cfRule type="expression" dxfId="245" priority="235" stopIfTrue="1">
      <formula>AND(NOT($C37=""),N37="")</formula>
    </cfRule>
    <cfRule type="expression" dxfId="244" priority="236" stopIfTrue="1">
      <formula>CE37="0"</formula>
    </cfRule>
  </conditionalFormatting>
  <conditionalFormatting sqref="M37">
    <cfRule type="expression" dxfId="243" priority="234" stopIfTrue="1">
      <formula>BZ37="0"</formula>
    </cfRule>
  </conditionalFormatting>
  <conditionalFormatting sqref="E37">
    <cfRule type="expression" dxfId="242" priority="232" stopIfTrue="1">
      <formula>AND(NOT($C37=""),E37="")</formula>
    </cfRule>
    <cfRule type="expression" dxfId="241" priority="233" stopIfTrue="1">
      <formula>AL37="0"</formula>
    </cfRule>
  </conditionalFormatting>
  <conditionalFormatting sqref="F37">
    <cfRule type="expression" dxfId="240" priority="230" stopIfTrue="1">
      <formula>AND(NOT($C37=""),F37="")</formula>
    </cfRule>
    <cfRule type="expression" dxfId="239" priority="231" stopIfTrue="1">
      <formula>AQ37="0"</formula>
    </cfRule>
  </conditionalFormatting>
  <conditionalFormatting sqref="G37">
    <cfRule type="expression" dxfId="238" priority="228" stopIfTrue="1">
      <formula>AND(NOT($C37=""),G37="")</formula>
    </cfRule>
    <cfRule type="expression" dxfId="237" priority="229" stopIfTrue="1">
      <formula>AV37="0"</formula>
    </cfRule>
  </conditionalFormatting>
  <conditionalFormatting sqref="H37">
    <cfRule type="expression" dxfId="236" priority="226" stopIfTrue="1">
      <formula>AND(NOT($C37=""),H37="")</formula>
    </cfRule>
    <cfRule type="expression" dxfId="235" priority="227" stopIfTrue="1">
      <formula>BA37="0"</formula>
    </cfRule>
  </conditionalFormatting>
  <conditionalFormatting sqref="I37">
    <cfRule type="expression" dxfId="234" priority="224" stopIfTrue="1">
      <formula>AND(NOT($C37=""),I37="")</formula>
    </cfRule>
    <cfRule type="expression" dxfId="233" priority="225" stopIfTrue="1">
      <formula>BF37="0"</formula>
    </cfRule>
  </conditionalFormatting>
  <conditionalFormatting sqref="J37">
    <cfRule type="expression" dxfId="232" priority="222" stopIfTrue="1">
      <formula>AND(NOT($C37=""),J37="")</formula>
    </cfRule>
    <cfRule type="expression" dxfId="231" priority="223" stopIfTrue="1">
      <formula>BK37="0"</formula>
    </cfRule>
  </conditionalFormatting>
  <conditionalFormatting sqref="K37">
    <cfRule type="expression" dxfId="230" priority="220" stopIfTrue="1">
      <formula>AND(NOT($C37=""),K37="")</formula>
    </cfRule>
    <cfRule type="expression" dxfId="229" priority="221" stopIfTrue="1">
      <formula>BP37="0"</formula>
    </cfRule>
  </conditionalFormatting>
  <conditionalFormatting sqref="L37">
    <cfRule type="expression" dxfId="228" priority="218" stopIfTrue="1">
      <formula>AND(NOT($C37=""),L37="")</formula>
    </cfRule>
    <cfRule type="expression" dxfId="227" priority="219" stopIfTrue="1">
      <formula>BU37="0"</formula>
    </cfRule>
  </conditionalFormatting>
  <conditionalFormatting sqref="N37">
    <cfRule type="expression" dxfId="226" priority="216" stopIfTrue="1">
      <formula>AND(NOT($C37=""),N37="")</formula>
    </cfRule>
    <cfRule type="expression" dxfId="225" priority="217" stopIfTrue="1">
      <formula>CE37="0"</formula>
    </cfRule>
  </conditionalFormatting>
  <conditionalFormatting sqref="M37">
    <cfRule type="expression" dxfId="224" priority="215" stopIfTrue="1">
      <formula>BZ37="0"</formula>
    </cfRule>
  </conditionalFormatting>
  <conditionalFormatting sqref="E37">
    <cfRule type="expression" dxfId="223" priority="213" stopIfTrue="1">
      <formula>AND(NOT($C37=""),E37="")</formula>
    </cfRule>
    <cfRule type="expression" dxfId="222" priority="214" stopIfTrue="1">
      <formula>AL37="0"</formula>
    </cfRule>
  </conditionalFormatting>
  <conditionalFormatting sqref="F37">
    <cfRule type="expression" dxfId="221" priority="211" stopIfTrue="1">
      <formula>AND(NOT($C37=""),F37="")</formula>
    </cfRule>
    <cfRule type="expression" dxfId="220" priority="212" stopIfTrue="1">
      <formula>AQ37="0"</formula>
    </cfRule>
  </conditionalFormatting>
  <conditionalFormatting sqref="G37">
    <cfRule type="expression" dxfId="219" priority="209" stopIfTrue="1">
      <formula>AND(NOT($C37=""),G37="")</formula>
    </cfRule>
    <cfRule type="expression" dxfId="218" priority="210" stopIfTrue="1">
      <formula>AV37="0"</formula>
    </cfRule>
  </conditionalFormatting>
  <conditionalFormatting sqref="H37">
    <cfRule type="expression" dxfId="217" priority="207" stopIfTrue="1">
      <formula>AND(NOT($C37=""),H37="")</formula>
    </cfRule>
    <cfRule type="expression" dxfId="216" priority="208" stopIfTrue="1">
      <formula>BA37="0"</formula>
    </cfRule>
  </conditionalFormatting>
  <conditionalFormatting sqref="I37">
    <cfRule type="expression" dxfId="215" priority="205" stopIfTrue="1">
      <formula>AND(NOT($C37=""),I37="")</formula>
    </cfRule>
    <cfRule type="expression" dxfId="214" priority="206" stopIfTrue="1">
      <formula>BF37="0"</formula>
    </cfRule>
  </conditionalFormatting>
  <conditionalFormatting sqref="J37">
    <cfRule type="expression" dxfId="213" priority="203" stopIfTrue="1">
      <formula>AND(NOT($C37=""),J37="")</formula>
    </cfRule>
    <cfRule type="expression" dxfId="212" priority="204" stopIfTrue="1">
      <formula>BK37="0"</formula>
    </cfRule>
  </conditionalFormatting>
  <conditionalFormatting sqref="K37">
    <cfRule type="expression" dxfId="211" priority="201" stopIfTrue="1">
      <formula>AND(NOT($C37=""),K37="")</formula>
    </cfRule>
    <cfRule type="expression" dxfId="210" priority="202" stopIfTrue="1">
      <formula>BP37="0"</formula>
    </cfRule>
  </conditionalFormatting>
  <conditionalFormatting sqref="L37">
    <cfRule type="expression" dxfId="209" priority="199" stopIfTrue="1">
      <formula>AND(NOT($C37=""),L37="")</formula>
    </cfRule>
    <cfRule type="expression" dxfId="208" priority="200" stopIfTrue="1">
      <formula>BU37="0"</formula>
    </cfRule>
  </conditionalFormatting>
  <conditionalFormatting sqref="N37">
    <cfRule type="expression" dxfId="207" priority="197" stopIfTrue="1">
      <formula>AND(NOT($C37=""),N37="")</formula>
    </cfRule>
    <cfRule type="expression" dxfId="206" priority="198" stopIfTrue="1">
      <formula>CE37="0"</formula>
    </cfRule>
  </conditionalFormatting>
  <conditionalFormatting sqref="M37">
    <cfRule type="expression" dxfId="205" priority="196" stopIfTrue="1">
      <formula>BZ37="0"</formula>
    </cfRule>
  </conditionalFormatting>
  <conditionalFormatting sqref="E37">
    <cfRule type="expression" dxfId="204" priority="194" stopIfTrue="1">
      <formula>AND(NOT($C37=""),E37="")</formula>
    </cfRule>
    <cfRule type="expression" dxfId="203" priority="195" stopIfTrue="1">
      <formula>AL37="0"</formula>
    </cfRule>
  </conditionalFormatting>
  <conditionalFormatting sqref="F37">
    <cfRule type="expression" dxfId="202" priority="192" stopIfTrue="1">
      <formula>AND(NOT($C37=""),F37="")</formula>
    </cfRule>
    <cfRule type="expression" dxfId="201" priority="193" stopIfTrue="1">
      <formula>AQ37="0"</formula>
    </cfRule>
  </conditionalFormatting>
  <conditionalFormatting sqref="G37">
    <cfRule type="expression" dxfId="200" priority="190" stopIfTrue="1">
      <formula>AND(NOT($C37=""),G37="")</formula>
    </cfRule>
    <cfRule type="expression" dxfId="199" priority="191" stopIfTrue="1">
      <formula>AV37="0"</formula>
    </cfRule>
  </conditionalFormatting>
  <conditionalFormatting sqref="H37">
    <cfRule type="expression" dxfId="198" priority="188" stopIfTrue="1">
      <formula>AND(NOT($C37=""),H37="")</formula>
    </cfRule>
    <cfRule type="expression" dxfId="197" priority="189" stopIfTrue="1">
      <formula>BA37="0"</formula>
    </cfRule>
  </conditionalFormatting>
  <conditionalFormatting sqref="I37">
    <cfRule type="expression" dxfId="196" priority="186" stopIfTrue="1">
      <formula>AND(NOT($C37=""),I37="")</formula>
    </cfRule>
    <cfRule type="expression" dxfId="195" priority="187" stopIfTrue="1">
      <formula>BF37="0"</formula>
    </cfRule>
  </conditionalFormatting>
  <conditionalFormatting sqref="J37">
    <cfRule type="expression" dxfId="194" priority="184" stopIfTrue="1">
      <formula>AND(NOT($C37=""),J37="")</formula>
    </cfRule>
    <cfRule type="expression" dxfId="193" priority="185" stopIfTrue="1">
      <formula>BK37="0"</formula>
    </cfRule>
  </conditionalFormatting>
  <conditionalFormatting sqref="K37">
    <cfRule type="expression" dxfId="192" priority="182" stopIfTrue="1">
      <formula>AND(NOT($C37=""),K37="")</formula>
    </cfRule>
    <cfRule type="expression" dxfId="191" priority="183" stopIfTrue="1">
      <formula>BP37="0"</formula>
    </cfRule>
  </conditionalFormatting>
  <conditionalFormatting sqref="L37">
    <cfRule type="expression" dxfId="190" priority="180" stopIfTrue="1">
      <formula>AND(NOT($C37=""),L37="")</formula>
    </cfRule>
    <cfRule type="expression" dxfId="189" priority="181" stopIfTrue="1">
      <formula>BU37="0"</formula>
    </cfRule>
  </conditionalFormatting>
  <conditionalFormatting sqref="N37">
    <cfRule type="expression" dxfId="188" priority="178" stopIfTrue="1">
      <formula>AND(NOT($C37=""),N37="")</formula>
    </cfRule>
    <cfRule type="expression" dxfId="187" priority="179" stopIfTrue="1">
      <formula>CE37="0"</formula>
    </cfRule>
  </conditionalFormatting>
  <conditionalFormatting sqref="M37">
    <cfRule type="expression" dxfId="186" priority="177" stopIfTrue="1">
      <formula>BZ37="0"</formula>
    </cfRule>
  </conditionalFormatting>
  <conditionalFormatting sqref="E37">
    <cfRule type="expression" dxfId="185" priority="175" stopIfTrue="1">
      <formula>AND(NOT($C37=""),E37="")</formula>
    </cfRule>
    <cfRule type="expression" dxfId="184" priority="176" stopIfTrue="1">
      <formula>AL37="0"</formula>
    </cfRule>
  </conditionalFormatting>
  <conditionalFormatting sqref="F37">
    <cfRule type="expression" dxfId="183" priority="173" stopIfTrue="1">
      <formula>AND(NOT($C37=""),F37="")</formula>
    </cfRule>
    <cfRule type="expression" dxfId="182" priority="174" stopIfTrue="1">
      <formula>AQ37="0"</formula>
    </cfRule>
  </conditionalFormatting>
  <conditionalFormatting sqref="G37">
    <cfRule type="expression" dxfId="181" priority="171" stopIfTrue="1">
      <formula>AND(NOT($C37=""),G37="")</formula>
    </cfRule>
    <cfRule type="expression" dxfId="180" priority="172" stopIfTrue="1">
      <formula>AV37="0"</formula>
    </cfRule>
  </conditionalFormatting>
  <conditionalFormatting sqref="H37">
    <cfRule type="expression" dxfId="179" priority="169" stopIfTrue="1">
      <formula>AND(NOT($C37=""),H37="")</formula>
    </cfRule>
    <cfRule type="expression" dxfId="178" priority="170" stopIfTrue="1">
      <formula>BA37="0"</formula>
    </cfRule>
  </conditionalFormatting>
  <conditionalFormatting sqref="I37">
    <cfRule type="expression" dxfId="177" priority="167" stopIfTrue="1">
      <formula>AND(NOT($C37=""),I37="")</formula>
    </cfRule>
    <cfRule type="expression" dxfId="176" priority="168" stopIfTrue="1">
      <formula>BF37="0"</formula>
    </cfRule>
  </conditionalFormatting>
  <conditionalFormatting sqref="J37">
    <cfRule type="expression" dxfId="175" priority="165" stopIfTrue="1">
      <formula>AND(NOT($C37=""),J37="")</formula>
    </cfRule>
    <cfRule type="expression" dxfId="174" priority="166" stopIfTrue="1">
      <formula>BK37="0"</formula>
    </cfRule>
  </conditionalFormatting>
  <conditionalFormatting sqref="K37">
    <cfRule type="expression" dxfId="173" priority="163" stopIfTrue="1">
      <formula>AND(NOT($C37=""),K37="")</formula>
    </cfRule>
    <cfRule type="expression" dxfId="172" priority="164" stopIfTrue="1">
      <formula>BP37="0"</formula>
    </cfRule>
  </conditionalFormatting>
  <conditionalFormatting sqref="L37">
    <cfRule type="expression" dxfId="171" priority="161" stopIfTrue="1">
      <formula>AND(NOT($C37=""),L37="")</formula>
    </cfRule>
    <cfRule type="expression" dxfId="170" priority="162" stopIfTrue="1">
      <formula>BU37="0"</formula>
    </cfRule>
  </conditionalFormatting>
  <conditionalFormatting sqref="N37">
    <cfRule type="expression" dxfId="169" priority="159" stopIfTrue="1">
      <formula>AND(NOT($C37=""),N37="")</formula>
    </cfRule>
    <cfRule type="expression" dxfId="168" priority="160" stopIfTrue="1">
      <formula>CE37="0"</formula>
    </cfRule>
  </conditionalFormatting>
  <conditionalFormatting sqref="M37">
    <cfRule type="expression" dxfId="167" priority="158" stopIfTrue="1">
      <formula>BZ37="0"</formula>
    </cfRule>
  </conditionalFormatting>
  <conditionalFormatting sqref="E37">
    <cfRule type="expression" dxfId="166" priority="156" stopIfTrue="1">
      <formula>AND(NOT($C37=""),E37="")</formula>
    </cfRule>
    <cfRule type="expression" dxfId="165" priority="157" stopIfTrue="1">
      <formula>AL37="0"</formula>
    </cfRule>
  </conditionalFormatting>
  <conditionalFormatting sqref="F37">
    <cfRule type="expression" dxfId="164" priority="154" stopIfTrue="1">
      <formula>AND(NOT($C37=""),F37="")</formula>
    </cfRule>
    <cfRule type="expression" dxfId="163" priority="155" stopIfTrue="1">
      <formula>AQ37="0"</formula>
    </cfRule>
  </conditionalFormatting>
  <conditionalFormatting sqref="G37">
    <cfRule type="expression" dxfId="162" priority="152" stopIfTrue="1">
      <formula>AND(NOT($C37=""),G37="")</formula>
    </cfRule>
    <cfRule type="expression" dxfId="161" priority="153" stopIfTrue="1">
      <formula>AV37="0"</formula>
    </cfRule>
  </conditionalFormatting>
  <conditionalFormatting sqref="H37">
    <cfRule type="expression" dxfId="160" priority="150" stopIfTrue="1">
      <formula>AND(NOT($C37=""),H37="")</formula>
    </cfRule>
    <cfRule type="expression" dxfId="159" priority="151" stopIfTrue="1">
      <formula>BA37="0"</formula>
    </cfRule>
  </conditionalFormatting>
  <conditionalFormatting sqref="I37">
    <cfRule type="expression" dxfId="158" priority="148" stopIfTrue="1">
      <formula>AND(NOT($C37=""),I37="")</formula>
    </cfRule>
    <cfRule type="expression" dxfId="157" priority="149" stopIfTrue="1">
      <formula>BF37="0"</formula>
    </cfRule>
  </conditionalFormatting>
  <conditionalFormatting sqref="J37">
    <cfRule type="expression" dxfId="156" priority="146" stopIfTrue="1">
      <formula>AND(NOT($C37=""),J37="")</formula>
    </cfRule>
    <cfRule type="expression" dxfId="155" priority="147" stopIfTrue="1">
      <formula>BK37="0"</formula>
    </cfRule>
  </conditionalFormatting>
  <conditionalFormatting sqref="K37">
    <cfRule type="expression" dxfId="154" priority="144" stopIfTrue="1">
      <formula>AND(NOT($C37=""),K37="")</formula>
    </cfRule>
    <cfRule type="expression" dxfId="153" priority="145" stopIfTrue="1">
      <formula>BP37="0"</formula>
    </cfRule>
  </conditionalFormatting>
  <conditionalFormatting sqref="L37">
    <cfRule type="expression" dxfId="152" priority="142" stopIfTrue="1">
      <formula>AND(NOT($C37=""),L37="")</formula>
    </cfRule>
    <cfRule type="expression" dxfId="151" priority="143" stopIfTrue="1">
      <formula>BU37="0"</formula>
    </cfRule>
  </conditionalFormatting>
  <conditionalFormatting sqref="N37">
    <cfRule type="expression" dxfId="150" priority="140" stopIfTrue="1">
      <formula>AND(NOT($C37=""),N37="")</formula>
    </cfRule>
    <cfRule type="expression" dxfId="149" priority="141" stopIfTrue="1">
      <formula>CE37="0"</formula>
    </cfRule>
  </conditionalFormatting>
  <conditionalFormatting sqref="M37">
    <cfRule type="expression" dxfId="148" priority="139" stopIfTrue="1">
      <formula>BZ37="0"</formula>
    </cfRule>
  </conditionalFormatting>
  <conditionalFormatting sqref="E37">
    <cfRule type="expression" dxfId="147" priority="137" stopIfTrue="1">
      <formula>AND(NOT($C37=""),E37="")</formula>
    </cfRule>
    <cfRule type="expression" dxfId="146" priority="138" stopIfTrue="1">
      <formula>AL37="0"</formula>
    </cfRule>
  </conditionalFormatting>
  <conditionalFormatting sqref="F37">
    <cfRule type="expression" dxfId="145" priority="135" stopIfTrue="1">
      <formula>AND(NOT($C37=""),F37="")</formula>
    </cfRule>
    <cfRule type="expression" dxfId="144" priority="136" stopIfTrue="1">
      <formula>AQ37="0"</formula>
    </cfRule>
  </conditionalFormatting>
  <conditionalFormatting sqref="G37">
    <cfRule type="expression" dxfId="143" priority="133" stopIfTrue="1">
      <formula>AND(NOT($C37=""),G37="")</formula>
    </cfRule>
    <cfRule type="expression" dxfId="142" priority="134" stopIfTrue="1">
      <formula>AV37="0"</formula>
    </cfRule>
  </conditionalFormatting>
  <conditionalFormatting sqref="H37">
    <cfRule type="expression" dxfId="141" priority="131" stopIfTrue="1">
      <formula>AND(NOT($C37=""),H37="")</formula>
    </cfRule>
    <cfRule type="expression" dxfId="140" priority="132" stopIfTrue="1">
      <formula>BA37="0"</formula>
    </cfRule>
  </conditionalFormatting>
  <conditionalFormatting sqref="I37">
    <cfRule type="expression" dxfId="139" priority="129" stopIfTrue="1">
      <formula>AND(NOT($C37=""),I37="")</formula>
    </cfRule>
    <cfRule type="expression" dxfId="138" priority="130" stopIfTrue="1">
      <formula>BF37="0"</formula>
    </cfRule>
  </conditionalFormatting>
  <conditionalFormatting sqref="J37">
    <cfRule type="expression" dxfId="137" priority="127" stopIfTrue="1">
      <formula>AND(NOT($C37=""),J37="")</formula>
    </cfRule>
    <cfRule type="expression" dxfId="136" priority="128" stopIfTrue="1">
      <formula>BK37="0"</formula>
    </cfRule>
  </conditionalFormatting>
  <conditionalFormatting sqref="K37">
    <cfRule type="expression" dxfId="135" priority="125" stopIfTrue="1">
      <formula>AND(NOT($C37=""),K37="")</formula>
    </cfRule>
    <cfRule type="expression" dxfId="134" priority="126" stopIfTrue="1">
      <formula>BP37="0"</formula>
    </cfRule>
  </conditionalFormatting>
  <conditionalFormatting sqref="L37">
    <cfRule type="expression" dxfId="133" priority="123" stopIfTrue="1">
      <formula>AND(NOT($C37=""),L37="")</formula>
    </cfRule>
    <cfRule type="expression" dxfId="132" priority="124" stopIfTrue="1">
      <formula>BU37="0"</formula>
    </cfRule>
  </conditionalFormatting>
  <conditionalFormatting sqref="N37">
    <cfRule type="expression" dxfId="131" priority="121" stopIfTrue="1">
      <formula>AND(NOT($C37=""),N37="")</formula>
    </cfRule>
    <cfRule type="expression" dxfId="130" priority="122" stopIfTrue="1">
      <formula>CE37="0"</formula>
    </cfRule>
  </conditionalFormatting>
  <conditionalFormatting sqref="M37">
    <cfRule type="expression" dxfId="129" priority="120" stopIfTrue="1">
      <formula>BZ37="0"</formula>
    </cfRule>
  </conditionalFormatting>
  <conditionalFormatting sqref="E37">
    <cfRule type="expression" dxfId="128" priority="118" stopIfTrue="1">
      <formula>AND(NOT($C37=""),E37="")</formula>
    </cfRule>
    <cfRule type="expression" dxfId="127" priority="119" stopIfTrue="1">
      <formula>AL37="0"</formula>
    </cfRule>
  </conditionalFormatting>
  <conditionalFormatting sqref="F37">
    <cfRule type="expression" dxfId="126" priority="116" stopIfTrue="1">
      <formula>AND(NOT($C37=""),F37="")</formula>
    </cfRule>
    <cfRule type="expression" dxfId="125" priority="117" stopIfTrue="1">
      <formula>AQ37="0"</formula>
    </cfRule>
  </conditionalFormatting>
  <conditionalFormatting sqref="G37">
    <cfRule type="expression" dxfId="124" priority="114" stopIfTrue="1">
      <formula>AND(NOT($C37=""),G37="")</formula>
    </cfRule>
    <cfRule type="expression" dxfId="123" priority="115" stopIfTrue="1">
      <formula>AV37="0"</formula>
    </cfRule>
  </conditionalFormatting>
  <conditionalFormatting sqref="H37">
    <cfRule type="expression" dxfId="122" priority="112" stopIfTrue="1">
      <formula>AND(NOT($C37=""),H37="")</formula>
    </cfRule>
    <cfRule type="expression" dxfId="121" priority="113" stopIfTrue="1">
      <formula>BA37="0"</formula>
    </cfRule>
  </conditionalFormatting>
  <conditionalFormatting sqref="I37">
    <cfRule type="expression" dxfId="120" priority="110" stopIfTrue="1">
      <formula>AND(NOT($C37=""),I37="")</formula>
    </cfRule>
    <cfRule type="expression" dxfId="119" priority="111" stopIfTrue="1">
      <formula>BF37="0"</formula>
    </cfRule>
  </conditionalFormatting>
  <conditionalFormatting sqref="J37">
    <cfRule type="expression" dxfId="118" priority="108" stopIfTrue="1">
      <formula>AND(NOT($C37=""),J37="")</formula>
    </cfRule>
    <cfRule type="expression" dxfId="117" priority="109" stopIfTrue="1">
      <formula>BK37="0"</formula>
    </cfRule>
  </conditionalFormatting>
  <conditionalFormatting sqref="K37">
    <cfRule type="expression" dxfId="116" priority="106" stopIfTrue="1">
      <formula>AND(NOT($C37=""),K37="")</formula>
    </cfRule>
    <cfRule type="expression" dxfId="115" priority="107" stopIfTrue="1">
      <formula>BP37="0"</formula>
    </cfRule>
  </conditionalFormatting>
  <conditionalFormatting sqref="L37">
    <cfRule type="expression" dxfId="114" priority="104" stopIfTrue="1">
      <formula>AND(NOT($C37=""),L37="")</formula>
    </cfRule>
    <cfRule type="expression" dxfId="113" priority="105" stopIfTrue="1">
      <formula>BU37="0"</formula>
    </cfRule>
  </conditionalFormatting>
  <conditionalFormatting sqref="N37">
    <cfRule type="expression" dxfId="112" priority="102" stopIfTrue="1">
      <formula>AND(NOT($C37=""),N37="")</formula>
    </cfRule>
    <cfRule type="expression" dxfId="111" priority="103" stopIfTrue="1">
      <formula>CE37="0"</formula>
    </cfRule>
  </conditionalFormatting>
  <conditionalFormatting sqref="D33">
    <cfRule type="expression" dxfId="110" priority="100" stopIfTrue="1">
      <formula>AND(NOT($C33=""),D33="")</formula>
    </cfRule>
    <cfRule type="expression" dxfId="109" priority="101" stopIfTrue="1">
      <formula>AG33="0"</formula>
    </cfRule>
  </conditionalFormatting>
  <conditionalFormatting sqref="D33">
    <cfRule type="expression" dxfId="108" priority="98" stopIfTrue="1">
      <formula>AND(NOT($C33=""),D33="")</formula>
    </cfRule>
    <cfRule type="expression" dxfId="107" priority="99" stopIfTrue="1">
      <formula>AG33="0"</formula>
    </cfRule>
  </conditionalFormatting>
  <conditionalFormatting sqref="D33">
    <cfRule type="expression" dxfId="106" priority="96" stopIfTrue="1">
      <formula>AND(NOT($C33=""),D33="")</formula>
    </cfRule>
    <cfRule type="expression" dxfId="105" priority="97" stopIfTrue="1">
      <formula>AG33="0"</formula>
    </cfRule>
  </conditionalFormatting>
  <conditionalFormatting sqref="D33">
    <cfRule type="expression" dxfId="104" priority="94" stopIfTrue="1">
      <formula>AND(NOT($C33=""),D33="")</formula>
    </cfRule>
    <cfRule type="expression" dxfId="103" priority="95" stopIfTrue="1">
      <formula>AG33="0"</formula>
    </cfRule>
  </conditionalFormatting>
  <conditionalFormatting sqref="D33">
    <cfRule type="expression" dxfId="102" priority="92" stopIfTrue="1">
      <formula>AND(NOT($C33=""),D33="")</formula>
    </cfRule>
    <cfRule type="expression" dxfId="101" priority="93" stopIfTrue="1">
      <formula>AG33="0"</formula>
    </cfRule>
  </conditionalFormatting>
  <conditionalFormatting sqref="D33">
    <cfRule type="expression" dxfId="100" priority="90" stopIfTrue="1">
      <formula>AND(NOT($C33=""),D33="")</formula>
    </cfRule>
    <cfRule type="expression" dxfId="99" priority="91" stopIfTrue="1">
      <formula>AG33="0"</formula>
    </cfRule>
  </conditionalFormatting>
  <conditionalFormatting sqref="D33">
    <cfRule type="expression" dxfId="98" priority="88" stopIfTrue="1">
      <formula>AND(NOT($C33=""),D33="")</formula>
    </cfRule>
    <cfRule type="expression" dxfId="97" priority="89" stopIfTrue="1">
      <formula>AG33="0"</formula>
    </cfRule>
  </conditionalFormatting>
  <conditionalFormatting sqref="D33">
    <cfRule type="expression" dxfId="96" priority="86" stopIfTrue="1">
      <formula>AND(NOT($C33=""),D33="")</formula>
    </cfRule>
    <cfRule type="expression" dxfId="95" priority="87" stopIfTrue="1">
      <formula>AG33="0"</formula>
    </cfRule>
  </conditionalFormatting>
  <conditionalFormatting sqref="D33">
    <cfRule type="expression" dxfId="94" priority="84" stopIfTrue="1">
      <formula>AND(NOT($C33=""),D33="")</formula>
    </cfRule>
    <cfRule type="expression" dxfId="93" priority="85" stopIfTrue="1">
      <formula>AG33="0"</formula>
    </cfRule>
  </conditionalFormatting>
  <conditionalFormatting sqref="D33">
    <cfRule type="expression" dxfId="92" priority="82" stopIfTrue="1">
      <formula>AND(NOT($C33=""),D33="")</formula>
    </cfRule>
    <cfRule type="expression" dxfId="91" priority="83" stopIfTrue="1">
      <formula>AG33="0"</formula>
    </cfRule>
  </conditionalFormatting>
  <conditionalFormatting sqref="D33">
    <cfRule type="expression" dxfId="90" priority="80" stopIfTrue="1">
      <formula>AND(NOT($C33=""),D33="")</formula>
    </cfRule>
    <cfRule type="expression" dxfId="89" priority="81" stopIfTrue="1">
      <formula>AG33="0"</formula>
    </cfRule>
  </conditionalFormatting>
  <conditionalFormatting sqref="D33">
    <cfRule type="expression" dxfId="88" priority="78" stopIfTrue="1">
      <formula>AND(NOT($C33=""),D33="")</formula>
    </cfRule>
    <cfRule type="expression" dxfId="87" priority="79" stopIfTrue="1">
      <formula>AG33="0"</formula>
    </cfRule>
  </conditionalFormatting>
  <conditionalFormatting sqref="D33">
    <cfRule type="expression" dxfId="86" priority="76" stopIfTrue="1">
      <formula>AND(NOT($C33=""),D33="")</formula>
    </cfRule>
    <cfRule type="expression" dxfId="85" priority="77" stopIfTrue="1">
      <formula>AG33="0"</formula>
    </cfRule>
  </conditionalFormatting>
  <conditionalFormatting sqref="D33">
    <cfRule type="expression" dxfId="84" priority="74" stopIfTrue="1">
      <formula>AND(NOT($C33=""),D33="")</formula>
    </cfRule>
    <cfRule type="expression" dxfId="83" priority="75" stopIfTrue="1">
      <formula>AG33="0"</formula>
    </cfRule>
  </conditionalFormatting>
  <conditionalFormatting sqref="D33">
    <cfRule type="expression" dxfId="82" priority="72" stopIfTrue="1">
      <formula>AND(NOT($C33=""),D33="")</formula>
    </cfRule>
    <cfRule type="expression" dxfId="81" priority="73" stopIfTrue="1">
      <formula>AG33="0"</formula>
    </cfRule>
  </conditionalFormatting>
  <conditionalFormatting sqref="D33">
    <cfRule type="expression" dxfId="80" priority="70" stopIfTrue="1">
      <formula>AND(NOT($C33=""),D33="")</formula>
    </cfRule>
    <cfRule type="expression" dxfId="79" priority="71" stopIfTrue="1">
      <formula>AG33="0"</formula>
    </cfRule>
  </conditionalFormatting>
  <conditionalFormatting sqref="D33">
    <cfRule type="expression" dxfId="78" priority="68" stopIfTrue="1">
      <formula>AND(NOT($C33=""),D33="")</formula>
    </cfRule>
    <cfRule type="expression" dxfId="77" priority="69" stopIfTrue="1">
      <formula>AG33="0"</formula>
    </cfRule>
  </conditionalFormatting>
  <conditionalFormatting sqref="D33">
    <cfRule type="expression" dxfId="76" priority="66" stopIfTrue="1">
      <formula>AND(NOT($C33=""),D33="")</formula>
    </cfRule>
    <cfRule type="expression" dxfId="75" priority="67" stopIfTrue="1">
      <formula>AG33="0"</formula>
    </cfRule>
  </conditionalFormatting>
  <conditionalFormatting sqref="D33">
    <cfRule type="expression" dxfId="74" priority="64" stopIfTrue="1">
      <formula>AND(NOT($C33=""),D33="")</formula>
    </cfRule>
    <cfRule type="expression" dxfId="73" priority="65" stopIfTrue="1">
      <formula>AG33="0"</formula>
    </cfRule>
  </conditionalFormatting>
  <conditionalFormatting sqref="D33">
    <cfRule type="expression" dxfId="72" priority="62" stopIfTrue="1">
      <formula>AND(NOT($C33=""),D33="")</formula>
    </cfRule>
    <cfRule type="expression" dxfId="71" priority="63" stopIfTrue="1">
      <formula>AG33="0"</formula>
    </cfRule>
  </conditionalFormatting>
  <conditionalFormatting sqref="D33">
    <cfRule type="expression" dxfId="70" priority="60" stopIfTrue="1">
      <formula>AND(NOT($C33=""),D33="")</formula>
    </cfRule>
    <cfRule type="expression" dxfId="69" priority="61" stopIfTrue="1">
      <formula>AG33="0"</formula>
    </cfRule>
  </conditionalFormatting>
  <conditionalFormatting sqref="D33">
    <cfRule type="expression" dxfId="68" priority="58" stopIfTrue="1">
      <formula>AND(NOT($C33=""),D33="")</formula>
    </cfRule>
    <cfRule type="expression" dxfId="67" priority="59" stopIfTrue="1">
      <formula>AG33="0"</formula>
    </cfRule>
  </conditionalFormatting>
  <conditionalFormatting sqref="D33">
    <cfRule type="expression" dxfId="66" priority="56" stopIfTrue="1">
      <formula>AND(NOT($C33=""),D33="")</formula>
    </cfRule>
    <cfRule type="expression" dxfId="65" priority="57" stopIfTrue="1">
      <formula>AG33="0"</formula>
    </cfRule>
  </conditionalFormatting>
  <conditionalFormatting sqref="D33">
    <cfRule type="expression" dxfId="64" priority="54" stopIfTrue="1">
      <formula>AND(NOT($C33=""),D33="")</formula>
    </cfRule>
    <cfRule type="expression" dxfId="63" priority="55" stopIfTrue="1">
      <formula>AG33="0"</formula>
    </cfRule>
  </conditionalFormatting>
  <conditionalFormatting sqref="H37">
    <cfRule type="expression" dxfId="62" priority="52" stopIfTrue="1">
      <formula>AND(NOT($C37=""),H37="")</formula>
    </cfRule>
    <cfRule type="expression" dxfId="61" priority="53" stopIfTrue="1">
      <formula>BA37="0"</formula>
    </cfRule>
  </conditionalFormatting>
  <conditionalFormatting sqref="I37">
    <cfRule type="expression" dxfId="60" priority="50" stopIfTrue="1">
      <formula>AND(NOT($C37=""),I37="")</formula>
    </cfRule>
    <cfRule type="expression" dxfId="59" priority="51" stopIfTrue="1">
      <formula>BF37="0"</formula>
    </cfRule>
  </conditionalFormatting>
  <conditionalFormatting sqref="H37">
    <cfRule type="expression" dxfId="58" priority="48" stopIfTrue="1">
      <formula>AND(NOT($C37=""),H37="")</formula>
    </cfRule>
    <cfRule type="expression" dxfId="57" priority="49" stopIfTrue="1">
      <formula>BA37="0"</formula>
    </cfRule>
  </conditionalFormatting>
  <conditionalFormatting sqref="I37">
    <cfRule type="expression" dxfId="56" priority="46" stopIfTrue="1">
      <formula>AND(NOT($C37=""),I37="")</formula>
    </cfRule>
    <cfRule type="expression" dxfId="55" priority="47" stopIfTrue="1">
      <formula>BF37="0"</formula>
    </cfRule>
  </conditionalFormatting>
  <conditionalFormatting sqref="H37">
    <cfRule type="expression" dxfId="54" priority="44" stopIfTrue="1">
      <formula>AND(NOT($C37=""),H37="")</formula>
    </cfRule>
    <cfRule type="expression" dxfId="53" priority="45" stopIfTrue="1">
      <formula>BA37="0"</formula>
    </cfRule>
  </conditionalFormatting>
  <conditionalFormatting sqref="I37">
    <cfRule type="expression" dxfId="52" priority="42" stopIfTrue="1">
      <formula>AND(NOT($C37=""),I37="")</formula>
    </cfRule>
    <cfRule type="expression" dxfId="51" priority="43" stopIfTrue="1">
      <formula>BF37="0"</formula>
    </cfRule>
  </conditionalFormatting>
  <conditionalFormatting sqref="H37">
    <cfRule type="expression" dxfId="50" priority="40" stopIfTrue="1">
      <formula>AND(NOT($C37=""),H37="")</formula>
    </cfRule>
    <cfRule type="expression" dxfId="49" priority="41" stopIfTrue="1">
      <formula>BA37="0"</formula>
    </cfRule>
  </conditionalFormatting>
  <conditionalFormatting sqref="I37">
    <cfRule type="expression" dxfId="48" priority="38" stopIfTrue="1">
      <formula>AND(NOT($C37=""),I37="")</formula>
    </cfRule>
    <cfRule type="expression" dxfId="47" priority="39" stopIfTrue="1">
      <formula>BF37="0"</formula>
    </cfRule>
  </conditionalFormatting>
  <conditionalFormatting sqref="H37">
    <cfRule type="expression" dxfId="46" priority="36" stopIfTrue="1">
      <formula>AND(NOT($C37=""),H37="")</formula>
    </cfRule>
    <cfRule type="expression" dxfId="45" priority="37" stopIfTrue="1">
      <formula>BA37="0"</formula>
    </cfRule>
  </conditionalFormatting>
  <conditionalFormatting sqref="I37">
    <cfRule type="expression" dxfId="44" priority="34" stopIfTrue="1">
      <formula>AND(NOT($C37=""),I37="")</formula>
    </cfRule>
    <cfRule type="expression" dxfId="43" priority="35" stopIfTrue="1">
      <formula>BF37="0"</formula>
    </cfRule>
  </conditionalFormatting>
  <conditionalFormatting sqref="H37">
    <cfRule type="expression" dxfId="42" priority="32" stopIfTrue="1">
      <formula>AND(NOT($C37=""),H37="")</formula>
    </cfRule>
    <cfRule type="expression" dxfId="41" priority="33" stopIfTrue="1">
      <formula>BA37="0"</formula>
    </cfRule>
  </conditionalFormatting>
  <conditionalFormatting sqref="I37">
    <cfRule type="expression" dxfId="40" priority="30" stopIfTrue="1">
      <formula>AND(NOT($C37=""),I37="")</formula>
    </cfRule>
    <cfRule type="expression" dxfId="39" priority="31" stopIfTrue="1">
      <formula>BF37="0"</formula>
    </cfRule>
  </conditionalFormatting>
  <conditionalFormatting sqref="H37">
    <cfRule type="expression" dxfId="38" priority="28" stopIfTrue="1">
      <formula>AND(NOT($C37=""),H37="")</formula>
    </cfRule>
    <cfRule type="expression" dxfId="37" priority="29" stopIfTrue="1">
      <formula>BA37="0"</formula>
    </cfRule>
  </conditionalFormatting>
  <conditionalFormatting sqref="I37">
    <cfRule type="expression" dxfId="36" priority="26" stopIfTrue="1">
      <formula>AND(NOT($C37=""),I37="")</formula>
    </cfRule>
    <cfRule type="expression" dxfId="35" priority="27" stopIfTrue="1">
      <formula>BF37="0"</formula>
    </cfRule>
  </conditionalFormatting>
  <conditionalFormatting sqref="H37">
    <cfRule type="expression" dxfId="34" priority="24" stopIfTrue="1">
      <formula>AND(NOT($C37=""),H37="")</formula>
    </cfRule>
    <cfRule type="expression" dxfId="33" priority="25" stopIfTrue="1">
      <formula>BA37="0"</formula>
    </cfRule>
  </conditionalFormatting>
  <conditionalFormatting sqref="I37">
    <cfRule type="expression" dxfId="32" priority="22" stopIfTrue="1">
      <formula>AND(NOT($C37=""),I37="")</formula>
    </cfRule>
    <cfRule type="expression" dxfId="31" priority="23" stopIfTrue="1">
      <formula>BF37="0"</formula>
    </cfRule>
  </conditionalFormatting>
  <conditionalFormatting sqref="H37">
    <cfRule type="expression" dxfId="30" priority="20" stopIfTrue="1">
      <formula>AND(NOT($C37=""),H37="")</formula>
    </cfRule>
    <cfRule type="expression" dxfId="29" priority="21" stopIfTrue="1">
      <formula>BA37="0"</formula>
    </cfRule>
  </conditionalFormatting>
  <conditionalFormatting sqref="I37">
    <cfRule type="expression" dxfId="28" priority="18" stopIfTrue="1">
      <formula>AND(NOT($C37=""),I37="")</formula>
    </cfRule>
    <cfRule type="expression" dxfId="27" priority="19" stopIfTrue="1">
      <formula>BF37="0"</formula>
    </cfRule>
  </conditionalFormatting>
  <conditionalFormatting sqref="H37">
    <cfRule type="expression" dxfId="26" priority="16" stopIfTrue="1">
      <formula>AND(NOT($C37=""),H37="")</formula>
    </cfRule>
    <cfRule type="expression" dxfId="25" priority="17" stopIfTrue="1">
      <formula>BA37="0"</formula>
    </cfRule>
  </conditionalFormatting>
  <conditionalFormatting sqref="I37">
    <cfRule type="expression" dxfId="24" priority="14" stopIfTrue="1">
      <formula>AND(NOT($C37=""),I37="")</formula>
    </cfRule>
    <cfRule type="expression" dxfId="23" priority="15" stopIfTrue="1">
      <formula>BF37="0"</formula>
    </cfRule>
  </conditionalFormatting>
  <conditionalFormatting sqref="H37">
    <cfRule type="expression" dxfId="22" priority="12" stopIfTrue="1">
      <formula>AND(NOT($C37=""),H37="")</formula>
    </cfRule>
    <cfRule type="expression" dxfId="21" priority="13" stopIfTrue="1">
      <formula>BA37="0"</formula>
    </cfRule>
  </conditionalFormatting>
  <conditionalFormatting sqref="I37">
    <cfRule type="expression" dxfId="20" priority="10" stopIfTrue="1">
      <formula>AND(NOT($C37=""),I37="")</formula>
    </cfRule>
    <cfRule type="expression" dxfId="19" priority="11" stopIfTrue="1">
      <formula>BF37="0"</formula>
    </cfRule>
  </conditionalFormatting>
  <conditionalFormatting sqref="H37">
    <cfRule type="expression" dxfId="18" priority="8" stopIfTrue="1">
      <formula>AND(NOT($C37=""),H37="")</formula>
    </cfRule>
    <cfRule type="expression" dxfId="17" priority="9" stopIfTrue="1">
      <formula>BA37="0"</formula>
    </cfRule>
  </conditionalFormatting>
  <conditionalFormatting sqref="I37">
    <cfRule type="expression" dxfId="16" priority="6" stopIfTrue="1">
      <formula>AND(NOT($C37=""),I37="")</formula>
    </cfRule>
    <cfRule type="expression" dxfId="15" priority="7" stopIfTrue="1">
      <formula>BF37="0"</formula>
    </cfRule>
  </conditionalFormatting>
  <conditionalFormatting sqref="H37">
    <cfRule type="expression" dxfId="14" priority="4" stopIfTrue="1">
      <formula>AND(NOT($C37=""),H37="")</formula>
    </cfRule>
    <cfRule type="expression" dxfId="13" priority="5" stopIfTrue="1">
      <formula>BA37="0"</formula>
    </cfRule>
  </conditionalFormatting>
  <conditionalFormatting sqref="I37">
    <cfRule type="expression" dxfId="12" priority="2" stopIfTrue="1">
      <formula>AND(NOT($C37=""),I37="")</formula>
    </cfRule>
    <cfRule type="expression" dxfId="11" priority="3" stopIfTrue="1">
      <formula>BF37="0"</formula>
    </cfRule>
  </conditionalFormatting>
  <conditionalFormatting sqref="S4:S6">
    <cfRule type="expression" dxfId="10" priority="1" stopIfTrue="1">
      <formula>S4=""</formula>
    </cfRule>
  </conditionalFormatting>
  <dataValidations count="24">
    <dataValidation type="whole" allowBlank="1" showInputMessage="1" showErrorMessage="1" sqref="R65:R69 R29:R43 R11:R25 R47:R61 R73:R82 R84:R93">
      <formula1>0</formula1>
      <formula2>100000</formula2>
    </dataValidation>
    <dataValidation type="list" allowBlank="1" showInputMessage="1" showErrorMessage="1" sqref="C84:C93">
      <formula1>seriya4</formula1>
    </dataValidation>
    <dataValidation type="list" allowBlank="1" showInputMessage="1" showErrorMessage="1" sqref="H11:H25 H29:H43 H47:H61 H73:H82 H65:H69">
      <formula1>decor</formula1>
    </dataValidation>
    <dataValidation type="list" allowBlank="1" showInputMessage="1" showErrorMessage="1" sqref="C73:D82">
      <formula1>seriya3</formula1>
    </dataValidation>
    <dataValidation type="list" allowBlank="1" showInputMessage="1" showErrorMessage="1" sqref="C65:C69">
      <formula1>seriya_FR</formula1>
    </dataValidation>
    <dataValidation type="list" allowBlank="1" showInputMessage="1" showErrorMessage="1" sqref="D11:D25 D29:D43 D65:D69 D47:D61">
      <formula1>models</formula1>
    </dataValidation>
    <dataValidation type="list" allowBlank="1" showInputMessage="1" showErrorMessage="1" sqref="E11:E25 E29:E43 E47:E61 E73:E82 E65:E69">
      <formula1>type</formula1>
    </dataValidation>
    <dataValidation type="list" allowBlank="1" showInputMessage="1" showErrorMessage="1" sqref="I11:I25 I29:I43 I47:I61 I73:I82 I65:I69">
      <formula1>color</formula1>
    </dataValidation>
    <dataValidation type="list" allowBlank="1" showInputMessage="1" showErrorMessage="1" sqref="F11:F25 F29:F43 F73:F82 F47:F61">
      <formula1>type_2</formula1>
    </dataValidation>
    <dataValidation type="list" allowBlank="1" showInputMessage="1" showErrorMessage="1" sqref="G11:G25 G29:G43 G73:G82 G47:G61">
      <formula1>dimentions</formula1>
    </dataValidation>
    <dataValidation type="list" allowBlank="1" showInputMessage="1" showErrorMessage="1" sqref="K65:K69 K29:K43 K11:K25">
      <formula1>glass</formula1>
    </dataValidation>
    <dataValidation type="whole" allowBlank="1" showInputMessage="1" showErrorMessage="1" sqref="F65:F69">
      <formula1>200</formula1>
      <formula2>2070</formula2>
    </dataValidation>
    <dataValidation type="list" allowBlank="1" showInputMessage="1" showErrorMessage="1" sqref="C47:C61">
      <formula1>seriya_DF</formula1>
    </dataValidation>
    <dataValidation type="list" allowBlank="1" showInputMessage="1" showErrorMessage="1" sqref="L11:L25 L29:L43 L47:L61">
      <formula1>furniture</formula1>
    </dataValidation>
    <dataValidation type="list" allowBlank="1" showInputMessage="1" showErrorMessage="1" sqref="N11:N25 N29:N43 N47:N61">
      <formula1>sides</formula1>
    </dataValidation>
    <dataValidation type="list" allowBlank="1" showInputMessage="1" showErrorMessage="1" promptTitle="Выберите Серию" sqref="C11:C25 C29:C43">
      <formula1>seriya_DL</formula1>
    </dataValidation>
    <dataValidation type="list" allowBlank="1" showInputMessage="1" showErrorMessage="1" sqref="J11:J25 J29:J43">
      <formula1>filling</formula1>
    </dataValidation>
    <dataValidation type="list" allowBlank="1" showInputMessage="1" showErrorMessage="1" sqref="M11:M25 M29:M43">
      <formula1>vent</formula1>
    </dataValidation>
    <dataValidation type="list" allowBlank="1" showInputMessage="1" showErrorMessage="1" sqref="N5">
      <formula1>vat_yesno</formula1>
    </dataValidation>
    <dataValidation type="decimal" operator="greaterThanOrEqual" allowBlank="1" showInputMessage="1" showErrorMessage="1" sqref="N6">
      <formula1>0</formula1>
    </dataValidation>
    <dataValidation type="list" allowBlank="1" showInputMessage="1" showErrorMessage="1" sqref="O11:O25">
      <formula1>door_frame</formula1>
    </dataValidation>
    <dataValidation type="list" allowBlank="1" showInputMessage="1" showErrorMessage="1" sqref="P11:P25">
      <formula1>frame_model</formula1>
    </dataValidation>
    <dataValidation type="list" allowBlank="1" showInputMessage="1" showErrorMessage="1" sqref="Q11:Q25">
      <formula1>frame_nalichnik</formula1>
    </dataValidation>
    <dataValidation type="whole" allowBlank="1" showInputMessage="1" showErrorMessage="1" sqref="G65:G69">
      <formula1>200</formula1>
      <formula2>1000</formula2>
    </dataValidation>
  </dataValidations>
  <pageMargins left="0.27559055118110237" right="0.31496062992125984" top="0.35433070866141736" bottom="0.31496062992125984" header="0.35433070866141736" footer="0.31496062992125984"/>
  <pageSetup paperSize="9" scale="85" fitToHeight="1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13"/>
    <pageSetUpPr fitToPage="1"/>
  </sheetPr>
  <dimension ref="B1:AX123"/>
  <sheetViews>
    <sheetView showGridLines="0" zoomScaleNormal="100" workbookViewId="0">
      <pane ySplit="5" topLeftCell="A6" activePane="bottomLeft" state="frozen"/>
      <selection pane="bottomLeft" activeCell="C21" sqref="C21"/>
    </sheetView>
  </sheetViews>
  <sheetFormatPr defaultColWidth="9.109375" defaultRowHeight="10.199999999999999" x14ac:dyDescent="0.2"/>
  <cols>
    <col min="1" max="1" width="0.5546875" style="363" customWidth="1"/>
    <col min="2" max="2" width="2.33203125" style="363" customWidth="1"/>
    <col min="3" max="3" width="35.6640625" style="363" customWidth="1"/>
    <col min="4" max="4" width="90.6640625" style="363" customWidth="1"/>
    <col min="5" max="5" width="4.6640625" style="363" customWidth="1"/>
    <col min="6" max="6" width="8.6640625" style="363" customWidth="1"/>
    <col min="7" max="7" width="4.6640625" style="363" customWidth="1"/>
    <col min="8" max="8" width="10.6640625" style="363" customWidth="1"/>
    <col min="9" max="9" width="3.109375" style="363" hidden="1" customWidth="1"/>
    <col min="10" max="10" width="5.5546875" style="363" hidden="1" customWidth="1"/>
    <col min="11" max="11" width="3.88671875" style="363" hidden="1" customWidth="1"/>
    <col min="12" max="12" width="10" style="363" hidden="1" customWidth="1"/>
    <col min="13" max="13" width="14" style="363" hidden="1" customWidth="1"/>
    <col min="14" max="14" width="8.44140625" style="363" hidden="1" customWidth="1"/>
    <col min="15" max="15" width="10" style="363" hidden="1" customWidth="1"/>
    <col min="16" max="17" width="3.88671875" style="363" hidden="1" customWidth="1"/>
    <col min="18" max="25" width="10.6640625" style="363" hidden="1" customWidth="1"/>
    <col min="26" max="26" width="3.33203125" style="363" hidden="1" customWidth="1"/>
    <col min="27" max="34" width="10.6640625" style="363" hidden="1" customWidth="1"/>
    <col min="35" max="35" width="9.109375" style="363" hidden="1" customWidth="1"/>
    <col min="36" max="42" width="5.6640625" style="363" hidden="1" customWidth="1"/>
    <col min="43" max="43" width="9.109375" style="363" hidden="1" customWidth="1"/>
    <col min="44" max="44" width="5.5546875" style="363" hidden="1" customWidth="1"/>
    <col min="45" max="46" width="9.109375" style="363" hidden="1" customWidth="1"/>
    <col min="47" max="47" width="9.109375" style="245" hidden="1" customWidth="1"/>
    <col min="48" max="48" width="11.109375" style="363" hidden="1" customWidth="1"/>
    <col min="49" max="49" width="9.109375" style="363" hidden="1" customWidth="1"/>
    <col min="50" max="50" width="9.109375" style="363" customWidth="1"/>
    <col min="51" max="16384" width="9.109375" style="363"/>
  </cols>
  <sheetData>
    <row r="1" spans="2:50" s="245" customFormat="1" x14ac:dyDescent="0.2">
      <c r="D1" s="246" t="str">
        <f>CONCATENATE("Клієнт: ",form!I4)</f>
        <v xml:space="preserve">Клієнт: </v>
      </c>
      <c r="E1" s="792" t="s">
        <v>1175</v>
      </c>
      <c r="F1" s="792"/>
      <c r="G1" s="794">
        <f>form!T5</f>
        <v>0</v>
      </c>
      <c r="H1" s="794"/>
    </row>
    <row r="2" spans="2:50" s="245" customFormat="1" ht="11.25" customHeight="1" x14ac:dyDescent="0.2">
      <c r="D2" s="247" t="str">
        <f>CONCATENATE("Контактна особа: ",form!I5,", тел: ",form!I6)</f>
        <v xml:space="preserve">Контактна особа: , тел: </v>
      </c>
      <c r="E2" s="793" t="s">
        <v>1176</v>
      </c>
      <c r="F2" s="793"/>
      <c r="G2" s="795">
        <f>form!R5</f>
        <v>0</v>
      </c>
      <c r="H2" s="795"/>
      <c r="L2" s="248"/>
      <c r="M2" s="248"/>
      <c r="N2" s="248"/>
    </row>
    <row r="3" spans="2:50" s="245" customFormat="1" x14ac:dyDescent="0.2">
      <c r="D3" s="249"/>
      <c r="E3" s="793" t="s">
        <v>128</v>
      </c>
      <c r="F3" s="793"/>
      <c r="G3" s="796">
        <f>form!N6</f>
        <v>1</v>
      </c>
      <c r="H3" s="796"/>
      <c r="L3" s="248"/>
      <c r="M3" s="250"/>
      <c r="N3" s="248"/>
    </row>
    <row r="4" spans="2:50" s="245" customFormat="1" ht="9.6" x14ac:dyDescent="0.2">
      <c r="D4" s="251"/>
      <c r="E4" s="252"/>
      <c r="F4" s="253"/>
      <c r="G4" s="253"/>
      <c r="H4" s="253"/>
      <c r="J4" s="254"/>
      <c r="K4" s="254"/>
      <c r="L4" s="254"/>
      <c r="M4" s="254"/>
      <c r="N4" s="254"/>
      <c r="O4" s="254"/>
      <c r="P4" s="254"/>
      <c r="Q4" s="254"/>
      <c r="AK4" s="248"/>
      <c r="AL4" s="248"/>
      <c r="AM4" s="248"/>
      <c r="AN4" s="248"/>
      <c r="AO4" s="248"/>
      <c r="AP4" s="248"/>
      <c r="AQ4" s="248"/>
      <c r="AR4" s="248"/>
      <c r="AS4" s="248"/>
    </row>
    <row r="5" spans="2:50" s="245" customFormat="1" ht="11.1" customHeight="1" x14ac:dyDescent="0.2">
      <c r="B5" s="790" t="s">
        <v>864</v>
      </c>
      <c r="C5" s="790"/>
      <c r="D5" s="383"/>
      <c r="E5" s="383"/>
      <c r="F5" s="383" t="s">
        <v>53</v>
      </c>
      <c r="G5" s="791">
        <f>form!L2</f>
        <v>0</v>
      </c>
      <c r="H5" s="791"/>
      <c r="J5" s="255"/>
      <c r="K5" s="255"/>
      <c r="L5" s="255"/>
      <c r="M5" s="255"/>
      <c r="N5" s="255"/>
      <c r="O5" s="255"/>
      <c r="P5" s="255"/>
      <c r="Q5" s="255"/>
      <c r="R5" s="384" t="s">
        <v>201</v>
      </c>
      <c r="S5" s="384"/>
      <c r="T5" s="256"/>
      <c r="U5" s="256"/>
      <c r="V5" s="256"/>
      <c r="W5" s="256"/>
      <c r="X5" s="256"/>
      <c r="Y5" s="256"/>
      <c r="AA5" s="384" t="s">
        <v>202</v>
      </c>
      <c r="AB5" s="384"/>
      <c r="AC5" s="256"/>
      <c r="AD5" s="256"/>
      <c r="AE5" s="256"/>
      <c r="AF5" s="256"/>
      <c r="AG5" s="256"/>
      <c r="AH5" s="256"/>
      <c r="AJ5" s="257" t="s">
        <v>171</v>
      </c>
      <c r="AK5" s="257"/>
      <c r="AL5" s="257"/>
      <c r="AM5" s="257"/>
      <c r="AN5" s="257"/>
      <c r="AO5" s="257"/>
      <c r="AP5" s="257"/>
      <c r="AQ5" s="257"/>
      <c r="AR5" s="257"/>
      <c r="AS5" s="257"/>
    </row>
    <row r="6" spans="2:50" s="245" customFormat="1" ht="9.6" x14ac:dyDescent="0.2">
      <c r="J6" s="255"/>
      <c r="K6" s="255"/>
      <c r="L6" s="255"/>
      <c r="M6" s="255"/>
      <c r="N6" s="255"/>
      <c r="O6" s="255"/>
      <c r="P6" s="255"/>
      <c r="Q6" s="255"/>
      <c r="R6" s="255"/>
      <c r="S6" s="255"/>
    </row>
    <row r="7" spans="2:50" s="245" customFormat="1" ht="24.9" customHeight="1" x14ac:dyDescent="0.2">
      <c r="B7" s="570" t="s">
        <v>159</v>
      </c>
      <c r="C7" s="571" t="s">
        <v>1171</v>
      </c>
      <c r="D7" s="571" t="s">
        <v>1172</v>
      </c>
      <c r="E7" s="572" t="s">
        <v>1173</v>
      </c>
      <c r="F7" s="573" t="s">
        <v>1174</v>
      </c>
      <c r="G7" s="573" t="s">
        <v>850</v>
      </c>
      <c r="H7" s="574" t="s">
        <v>852</v>
      </c>
      <c r="J7" s="260" t="s">
        <v>170</v>
      </c>
      <c r="L7" s="258" t="s">
        <v>168</v>
      </c>
      <c r="M7" s="258" t="s">
        <v>169</v>
      </c>
      <c r="N7" s="259" t="s">
        <v>172</v>
      </c>
      <c r="O7" s="261" t="s">
        <v>174</v>
      </c>
      <c r="Q7" s="262"/>
      <c r="R7" s="262"/>
      <c r="S7" s="262"/>
      <c r="T7" s="262"/>
      <c r="U7" s="263"/>
      <c r="V7" s="263"/>
      <c r="W7" s="263"/>
      <c r="X7" s="263"/>
      <c r="Y7" s="263"/>
      <c r="AA7" s="264"/>
      <c r="AB7" s="264"/>
      <c r="AC7" s="264"/>
      <c r="AD7" s="265"/>
      <c r="AE7" s="263"/>
      <c r="AF7" s="263"/>
      <c r="AG7" s="266"/>
      <c r="AH7" s="263"/>
      <c r="AJ7" s="262"/>
      <c r="AK7" s="262"/>
      <c r="AL7" s="262"/>
      <c r="AM7" s="262"/>
      <c r="AN7" s="267"/>
      <c r="AO7" s="266"/>
      <c r="AP7" s="267"/>
      <c r="AQ7" s="266"/>
      <c r="AR7" s="267"/>
      <c r="AS7" s="262"/>
      <c r="AU7" s="262"/>
      <c r="AV7" s="262"/>
    </row>
    <row r="8" spans="2:50" s="273" customFormat="1" ht="24.9" customHeight="1" x14ac:dyDescent="0.2">
      <c r="B8" s="569" t="str">
        <f>form!B9</f>
        <v>Розділ № 1: ДВЕРНІ БЛОКИ (тільки 1 стулкові)</v>
      </c>
      <c r="C8" s="268"/>
      <c r="D8" s="269"/>
      <c r="E8" s="270"/>
      <c r="F8" s="271" t="str">
        <f>IF(H8="","","ИТОГО:")</f>
        <v/>
      </c>
      <c r="G8" s="585" t="str">
        <f>IF(J8=0,"",SUM(G9:G53))</f>
        <v/>
      </c>
      <c r="H8" s="272" t="str">
        <f>IF(J8=0,"",SUM(H9:H53))</f>
        <v/>
      </c>
      <c r="J8" s="274">
        <f>SUM(J9:J53)</f>
        <v>0</v>
      </c>
      <c r="L8" s="275"/>
      <c r="M8" s="275"/>
      <c r="N8" s="275"/>
      <c r="O8" s="275"/>
      <c r="Q8" s="276"/>
      <c r="R8" s="277" t="s">
        <v>143</v>
      </c>
      <c r="S8" s="277" t="s">
        <v>142</v>
      </c>
      <c r="T8" s="277" t="s">
        <v>137</v>
      </c>
      <c r="U8" s="277" t="s">
        <v>141</v>
      </c>
      <c r="V8" s="277" t="s">
        <v>76</v>
      </c>
      <c r="W8" s="277" t="s">
        <v>78</v>
      </c>
      <c r="X8" s="277" t="s">
        <v>145</v>
      </c>
      <c r="Y8" s="277" t="s">
        <v>146</v>
      </c>
      <c r="AA8" s="277" t="s">
        <v>143</v>
      </c>
      <c r="AB8" s="277" t="s">
        <v>142</v>
      </c>
      <c r="AC8" s="277" t="s">
        <v>137</v>
      </c>
      <c r="AD8" s="277" t="s">
        <v>141</v>
      </c>
      <c r="AE8" s="277" t="s">
        <v>76</v>
      </c>
      <c r="AF8" s="277" t="s">
        <v>78</v>
      </c>
      <c r="AG8" s="277" t="s">
        <v>145</v>
      </c>
      <c r="AH8" s="277" t="s">
        <v>146</v>
      </c>
      <c r="AJ8" s="277" t="s">
        <v>121</v>
      </c>
      <c r="AK8" s="277" t="s">
        <v>205</v>
      </c>
      <c r="AL8" s="277" t="s">
        <v>144</v>
      </c>
      <c r="AM8" s="278"/>
      <c r="AN8" s="277" t="s">
        <v>173</v>
      </c>
      <c r="AO8" s="277" t="s">
        <v>86</v>
      </c>
      <c r="AP8" s="277" t="s">
        <v>43</v>
      </c>
      <c r="AQ8" s="279" t="s">
        <v>290</v>
      </c>
      <c r="AR8" s="624" t="s">
        <v>290</v>
      </c>
      <c r="AS8" s="277" t="s">
        <v>287</v>
      </c>
      <c r="AU8" s="615" t="s">
        <v>340</v>
      </c>
      <c r="AV8" s="277" t="s">
        <v>179</v>
      </c>
    </row>
    <row r="9" spans="2:50" s="273" customFormat="1" ht="24.9" customHeight="1" x14ac:dyDescent="0.2">
      <c r="B9" s="375"/>
      <c r="C9" s="565" t="str">
        <f t="shared" ref="C9:C14" si="0">IF(ISNA(L9),"",L9)</f>
        <v/>
      </c>
      <c r="D9" s="567" t="str">
        <f t="shared" ref="D9:D14" si="1">IF(ISNA(M9),"",M9)</f>
        <v/>
      </c>
      <c r="E9" s="461" t="str">
        <f>IF(OR(J9=0,J9=""),"",VLOOKUP(R9,Лист1!$M:$O,3,0))</f>
        <v/>
      </c>
      <c r="F9" s="280" t="str">
        <f t="shared" ref="F9:F14" si="2">IF(ISNA(N9),"",N9)</f>
        <v/>
      </c>
      <c r="G9" s="586" t="str">
        <f t="shared" ref="G9:G14" si="3">IF(J9=0,"",J9)</f>
        <v/>
      </c>
      <c r="H9" s="281" t="str">
        <f t="shared" ref="H9:H14" si="4">IF(ISNA(O9),"",O9)</f>
        <v/>
      </c>
      <c r="J9" s="282">
        <f>form!$R$11</f>
        <v>0</v>
      </c>
      <c r="L9" s="283" t="str">
        <f>IF(G9="","",CONCATENATE(R9,".",S9,".",T9,".",U9,".",V9,".",W9,".",X9,".",Y9))</f>
        <v/>
      </c>
      <c r="M9" s="283" t="str">
        <f>IF(G9="","",CONCATENATE(AA9,", ",AB9,", ",AC9,", ",AD9,", ",AE9,", ",AF9,", ",AG9,", ",AH9))</f>
        <v/>
      </c>
      <c r="N9" s="283" t="str">
        <f t="shared" ref="N9:N32" si="5">IF(G9="","",AS9*(1-$G$1))</f>
        <v/>
      </c>
      <c r="O9" s="283" t="str">
        <f t="shared" ref="O9:O32" si="6">IF(F9="","",G9*F9)</f>
        <v/>
      </c>
      <c r="Q9" s="284" t="s">
        <v>253</v>
      </c>
      <c r="R9" s="285" t="e">
        <f>VLOOKUP(CONCATENATE(form!$C$11,".",form!$D$11),Лист1!$L:$N,2,0)</f>
        <v>#N/A</v>
      </c>
      <c r="S9" s="286" t="e">
        <f>VLOOKUP(CONCATENATE(form!$C$11,".",form!$D$11),Лист1!$Q:$S,2,0)</f>
        <v>#N/A</v>
      </c>
      <c r="T9" s="286" t="e">
        <f>VLOOKUP(CONCATENATE(form!$E$11,".",form!$F$11,".",form!$G$11),Лист1!$U:$W,2,0)</f>
        <v>#N/A</v>
      </c>
      <c r="U9" s="287" t="e">
        <f>VLOOKUP(form!$I$11,Лист1!$Y:$AA,2,0)</f>
        <v>#N/A</v>
      </c>
      <c r="V9" s="287" t="e">
        <f>VLOOKUP(form!$J$11,Лист1!$AC:$AE,2,0)</f>
        <v>#N/A</v>
      </c>
      <c r="W9" s="287" t="e">
        <f>VLOOKUP(form!$K$11,Лист1!$AG:$AI,2,0)</f>
        <v>#N/A</v>
      </c>
      <c r="X9" s="287" t="e">
        <f>VLOOKUP(CONCATENATE(form!$L$11,".",form!$M$11),Лист1!$AK$14:$AM$59,2,0)</f>
        <v>#N/A</v>
      </c>
      <c r="Y9" s="287" t="e">
        <f>VLOOKUP(CONCATENATE(form!$L$11,".",form!$N$11),Лист1!$AO$13:$AQ$40,2,0)</f>
        <v>#N/A</v>
      </c>
      <c r="AA9" s="288" t="e">
        <f>VLOOKUP(CONCATENATE(form!$C$11,".",form!$D$11),Лист1!$L:$N,3,0)</f>
        <v>#N/A</v>
      </c>
      <c r="AB9" s="288" t="e">
        <f>VLOOKUP(CONCATENATE(form!$C$11,".",form!$D$11),Лист1!$Q:$S,3,0)</f>
        <v>#N/A</v>
      </c>
      <c r="AC9" s="288" t="e">
        <f>VLOOKUP(CONCATENATE(form!$E$11,".",form!$F$11,".",form!$G$11),Лист1!$U:$W,3,0)</f>
        <v>#N/A</v>
      </c>
      <c r="AD9" s="288" t="e">
        <f>VLOOKUP(form!$I$11,Лист1!$Y:$AA,3,0)</f>
        <v>#N/A</v>
      </c>
      <c r="AE9" s="288" t="e">
        <f>VLOOKUP(form!$J$11,Лист1!$AC:$AE,3,0)</f>
        <v>#N/A</v>
      </c>
      <c r="AF9" s="289" t="e">
        <f>VLOOKUP(form!$K$11,Лист1!$AG:$AI,3,0)</f>
        <v>#N/A</v>
      </c>
      <c r="AG9" s="288" t="e">
        <f>VLOOKUP(CONCATENATE(form!$L$11,".",form!$M$11),Лист1!$AK$14:$AM$59,3,0)</f>
        <v>#N/A</v>
      </c>
      <c r="AH9" s="288" t="e">
        <f>VLOOKUP(CONCATENATE(form!$L$11,".",form!$N$11),Лист1!$AO$13:$AQ$40,3,0)</f>
        <v>#N/A</v>
      </c>
      <c r="AJ9" s="290" t="e">
        <f>VLOOKUP(CONCATENATE(form!$C$11,".",form!$D$11,".",form!$H$11),Лист1!$DD:$DH,5,0)</f>
        <v>#N/A</v>
      </c>
      <c r="AK9" s="290" t="e">
        <f>VLOOKUP(CONCATENATE(form!$C$11,".",form!$J$11),Лист1!$DJ:$DN,5,0)</f>
        <v>#N/A</v>
      </c>
      <c r="AL9" s="290" t="e">
        <f>VLOOKUP(CONCATENATE(form!$C$11,".",form!$D$11,".",form!$K$11),Лист1!$DP:$DT,5,0)</f>
        <v>#N/A</v>
      </c>
      <c r="AM9" s="291"/>
      <c r="AN9" s="290" t="e">
        <f>VLOOKUP(CONCATENATE(form!$C$11,".",form!$L$11),Лист1!$DV:$DZ,5,0)</f>
        <v>#N/A</v>
      </c>
      <c r="AO9" s="290" t="e">
        <f>VLOOKUP(CONCATENATE(form!$C$11,".",form!$M$11),Лист1!$EB:$EF,5,0)</f>
        <v>#N/A</v>
      </c>
      <c r="AP9" s="612"/>
      <c r="AQ9" s="292" t="str">
        <f>IF(ISNA(AR9),"0",AR9)</f>
        <v>0</v>
      </c>
      <c r="AR9" s="623" t="e">
        <f>VLOOKUP(CONCATENATE(form!$C$11,".",form!$G$11),Лист1!$EH:$EL,5,0)</f>
        <v>#N/A</v>
      </c>
      <c r="AS9" s="293" t="e">
        <f>SUM(AJ9:AQ9)</f>
        <v>#N/A</v>
      </c>
      <c r="AU9" s="616">
        <f>IF(ISNA(AV9),"0",AV9)</f>
        <v>0</v>
      </c>
      <c r="AV9" s="294">
        <f>IF(G9="",0,ROUND(AS9*G9,2))</f>
        <v>0</v>
      </c>
      <c r="AX9" s="294"/>
    </row>
    <row r="10" spans="2:50" s="273" customFormat="1" ht="24.9" customHeight="1" x14ac:dyDescent="0.2">
      <c r="B10" s="376">
        <v>1</v>
      </c>
      <c r="C10" s="565" t="str">
        <f t="shared" si="0"/>
        <v/>
      </c>
      <c r="D10" s="567" t="str">
        <f t="shared" si="1"/>
        <v/>
      </c>
      <c r="E10" s="461" t="str">
        <f>IF(OR(J10=0,J10=""),"",VLOOKUP(R10,Лист1!$M:$O,3,0))</f>
        <v/>
      </c>
      <c r="F10" s="280" t="str">
        <f t="shared" si="2"/>
        <v/>
      </c>
      <c r="G10" s="586" t="str">
        <f>IF(J10=0,"",J10)</f>
        <v/>
      </c>
      <c r="H10" s="281" t="str">
        <f t="shared" si="4"/>
        <v/>
      </c>
      <c r="J10" s="282" t="str">
        <f>form!$DE$11</f>
        <v/>
      </c>
      <c r="L10" s="295" t="str">
        <f>IF(G10="","",CONCATENATE(R10,".",T10,".",S10,".",U10,".",X10,".",Y10))</f>
        <v/>
      </c>
      <c r="M10" s="295" t="str">
        <f>IF(G10="","",CONCATENATE(AA10,", ",AB10,", ",AC10,", ",AD10,", ",AG10,", ",AH10))</f>
        <v/>
      </c>
      <c r="N10" s="295" t="str">
        <f t="shared" si="5"/>
        <v/>
      </c>
      <c r="O10" s="295" t="str">
        <f t="shared" si="6"/>
        <v/>
      </c>
      <c r="Q10" s="296" t="s">
        <v>254</v>
      </c>
      <c r="R10" s="285" t="e">
        <f>VLOOKUP(CONCATENATE(form!$CV$11,".",form!$CW$11),Лист1!$L:$N,2,0)</f>
        <v>#N/A</v>
      </c>
      <c r="S10" s="286" t="e">
        <f>VLOOKUP(CONCATENATE(form!$CV$11,".",form!$CW$11),Лист1!$Q:$S,2,0)</f>
        <v>#N/A</v>
      </c>
      <c r="T10" s="286" t="e">
        <f>VLOOKUP(CONCATENATE(form!$CV$11,".",form!$CX$11,".",form!$CY$11,".",form!$CZ$11),Лист1!$U:$W,2,0)</f>
        <v>#N/A</v>
      </c>
      <c r="U10" s="287" t="e">
        <f>VLOOKUP(form!$DB$11,Лист1!$Y:$AA,2,0)</f>
        <v>#N/A</v>
      </c>
      <c r="V10" s="297"/>
      <c r="W10" s="297"/>
      <c r="X10" s="287" t="e">
        <f>VLOOKUP(form!$DC$11,Лист1!$AK$63:$AM$77,2,0)</f>
        <v>#N/A</v>
      </c>
      <c r="Y10" s="287" t="e">
        <f>VLOOKUP(form!$DD$11,Лист1!$AO$43:$AQ$60,2,0)</f>
        <v>#N/A</v>
      </c>
      <c r="AA10" s="295" t="e">
        <f>VLOOKUP(CONCATENATE(form!$CV$11,".",form!$CW$11),Лист1!$L:$N,3,0)</f>
        <v>#N/A</v>
      </c>
      <c r="AB10" s="295" t="e">
        <f>VLOOKUP(CONCATENATE(form!$CV$11,".",form!$CW$11),Лист1!$Q:$S,3,0)</f>
        <v>#N/A</v>
      </c>
      <c r="AC10" s="295" t="e">
        <f>VLOOKUP(CONCATENATE(form!$CV$11,".",form!$CX$11,".",form!$CY$11,".",form!$CZ$11),Лист1!$U:$W,3,0)</f>
        <v>#N/A</v>
      </c>
      <c r="AD10" s="295" t="e">
        <f>VLOOKUP(form!$DB$11,Лист1!$Y:$AA,3,0)</f>
        <v>#N/A</v>
      </c>
      <c r="AE10" s="298"/>
      <c r="AF10" s="298"/>
      <c r="AG10" s="299" t="e">
        <f>VLOOKUP(form!$DC$11,Лист1!$AK$63:$AM$77,3,0)</f>
        <v>#N/A</v>
      </c>
      <c r="AH10" s="295" t="e">
        <f>VLOOKUP(form!$DD$11,Лист1!$AO$43:$AQ$60,3,0)</f>
        <v>#N/A</v>
      </c>
      <c r="AJ10" s="300" t="e">
        <f>VLOOKUP(CONCATENATE(form!$CV$11,".",form!$CW$11,".",form!$DA$11),Лист1!$DD:$DH,5,0)</f>
        <v>#N/A</v>
      </c>
      <c r="AK10" s="301"/>
      <c r="AL10" s="301"/>
      <c r="AM10" s="301"/>
      <c r="AN10" s="290" t="e">
        <f>VLOOKUP(CONCATENATE(form!$CV$11,".",form!$DC$11),Лист1!$DV:$DZ,5,0)</f>
        <v>#N/A</v>
      </c>
      <c r="AO10" s="301"/>
      <c r="AP10" s="300" t="e">
        <f>VLOOKUP(CONCATENATE(form!$CV$11,".",form!$CW$11,".",form!$DA$11,".",form!$CY$11),Лист1!$EH:$EL,5,0)</f>
        <v>#N/A</v>
      </c>
      <c r="AQ10" s="302"/>
      <c r="AR10" s="302"/>
      <c r="AS10" s="293" t="e">
        <f>SUM(AJ10:AQ10)</f>
        <v>#N/A</v>
      </c>
      <c r="AU10" s="616">
        <f t="shared" ref="AU10:AU32" si="7">IF(ISNA(AV10),"0",AV10)</f>
        <v>0</v>
      </c>
      <c r="AV10" s="294">
        <f>IF(G10="",0,ROUND(AS10*G10,2))</f>
        <v>0</v>
      </c>
      <c r="AX10" s="294"/>
    </row>
    <row r="11" spans="2:50" s="273" customFormat="1" ht="24.9" customHeight="1" x14ac:dyDescent="0.2">
      <c r="B11" s="377"/>
      <c r="C11" s="566" t="str">
        <f t="shared" si="0"/>
        <v/>
      </c>
      <c r="D11" s="568" t="str">
        <f t="shared" si="1"/>
        <v/>
      </c>
      <c r="E11" s="462" t="str">
        <f>IF(OR(J11=0,J11=""),"",VLOOKUP(R11,Лист1!$M:$O,3,0))</f>
        <v/>
      </c>
      <c r="F11" s="303" t="str">
        <f t="shared" si="2"/>
        <v/>
      </c>
      <c r="G11" s="587" t="str">
        <f t="shared" si="3"/>
        <v/>
      </c>
      <c r="H11" s="304" t="str">
        <f t="shared" si="4"/>
        <v/>
      </c>
      <c r="J11" s="282" t="str">
        <f>form!$DL$11</f>
        <v/>
      </c>
      <c r="L11" s="305" t="str">
        <f>IF(G11="","",CONCATENATE(R11,".",T11,".",S11,".",U11))</f>
        <v/>
      </c>
      <c r="M11" s="305" t="str">
        <f>IF(G11="","",CONCATENATE(AA11,", ",AC11,", ",AD11))</f>
        <v/>
      </c>
      <c r="N11" s="305" t="str">
        <f t="shared" si="5"/>
        <v/>
      </c>
      <c r="O11" s="305" t="str">
        <f t="shared" si="6"/>
        <v/>
      </c>
      <c r="Q11" s="306" t="s">
        <v>255</v>
      </c>
      <c r="R11" s="307" t="e">
        <f>VLOOKUP(form!$DG$11,Лист1!$L:$N,2,0)</f>
        <v>#N/A</v>
      </c>
      <c r="S11" s="308" t="e">
        <f>VLOOKUP(form!$DG$11,Лист1!$Q:$S,2,0)</f>
        <v>#N/A</v>
      </c>
      <c r="T11" s="308" t="e">
        <f>VLOOKUP(CONCATENATE(form!$DG$11,".",form!$DI$11),Лист1!$U:$W,2,0)</f>
        <v>#N/A</v>
      </c>
      <c r="U11" s="309" t="e">
        <f>VLOOKUP(form!$DK$11,Лист1!$Y:$AA,2,0)</f>
        <v>#N/A</v>
      </c>
      <c r="V11" s="310"/>
      <c r="W11" s="310"/>
      <c r="X11" s="310"/>
      <c r="Y11" s="310"/>
      <c r="AA11" s="305" t="e">
        <f>VLOOKUP(form!$DG$11,Лист1!$L:$N,3,0)</f>
        <v>#N/A</v>
      </c>
      <c r="AB11" s="310"/>
      <c r="AC11" s="305" t="e">
        <f>VLOOKUP(CONCATENATE(form!$DG$11,".",form!$DI$11),Лист1!$U:$W,3,0)</f>
        <v>#N/A</v>
      </c>
      <c r="AD11" s="305" t="e">
        <f>VLOOKUP(form!$DK$11,Лист1!$Y:$AA,3,0)</f>
        <v>#N/A</v>
      </c>
      <c r="AE11" s="310"/>
      <c r="AF11" s="310"/>
      <c r="AG11" s="310"/>
      <c r="AH11" s="310"/>
      <c r="AJ11" s="311" t="e">
        <f>VLOOKUP(CONCATENATE(form!$DG$11,".",form!$DJ$11),Лист1!$DD:$DH,5,0)</f>
        <v>#N/A</v>
      </c>
      <c r="AK11" s="310"/>
      <c r="AL11" s="310"/>
      <c r="AM11" s="310"/>
      <c r="AN11" s="310"/>
      <c r="AO11" s="310"/>
      <c r="AP11" s="311" t="e">
        <f>VLOOKUP(CONCATENATE(form!$DG$11,".",form!$DJ$11,".",form!$DH$11),Лист1!$EH:$EL,5,0)</f>
        <v>#N/A</v>
      </c>
      <c r="AQ11" s="312"/>
      <c r="AR11" s="312"/>
      <c r="AS11" s="313" t="e">
        <f t="shared" ref="AS11:AS73" si="8">SUM(AJ11:AQ11)</f>
        <v>#N/A</v>
      </c>
      <c r="AU11" s="617">
        <f t="shared" si="7"/>
        <v>0</v>
      </c>
      <c r="AV11" s="314">
        <f t="shared" ref="AV11:AV32" si="9">IF(G11="",0,ROUND(AS11*G11,2))</f>
        <v>0</v>
      </c>
      <c r="AX11" s="294"/>
    </row>
    <row r="12" spans="2:50" s="273" customFormat="1" ht="24.9" customHeight="1" x14ac:dyDescent="0.2">
      <c r="B12" s="378"/>
      <c r="C12" s="565" t="str">
        <f t="shared" si="0"/>
        <v/>
      </c>
      <c r="D12" s="567" t="str">
        <f t="shared" si="1"/>
        <v/>
      </c>
      <c r="E12" s="461" t="str">
        <f>IF(OR(J12=0,J12=""),"",VLOOKUP(R12,Лист1!$M:$O,3,0))</f>
        <v/>
      </c>
      <c r="F12" s="280" t="str">
        <f t="shared" si="2"/>
        <v/>
      </c>
      <c r="G12" s="586" t="str">
        <f t="shared" si="3"/>
        <v/>
      </c>
      <c r="H12" s="281" t="str">
        <f t="shared" si="4"/>
        <v/>
      </c>
      <c r="J12" s="282">
        <f>form!$R$12</f>
        <v>0</v>
      </c>
      <c r="L12" s="283" t="str">
        <f>IF(G12="","",CONCATENATE(R12,".",S12,".",T12,".",U12,".",V12,".",W12,".",X12,".",Y12))</f>
        <v/>
      </c>
      <c r="M12" s="283" t="str">
        <f>IF(G12="","",CONCATENATE(AA12,", ",AB12,", ",AC12,", ",AD12,", ",AE12,", ",AF12,", ",AG12,", ",AH12))</f>
        <v/>
      </c>
      <c r="N12" s="283" t="str">
        <f t="shared" si="5"/>
        <v/>
      </c>
      <c r="O12" s="283" t="str">
        <f t="shared" si="6"/>
        <v/>
      </c>
      <c r="Q12" s="284" t="s">
        <v>253</v>
      </c>
      <c r="R12" s="285" t="e">
        <f>VLOOKUP(CONCATENATE(form!$C$12,".",form!$D$12),Лист1!$L:$N,2,0)</f>
        <v>#N/A</v>
      </c>
      <c r="S12" s="286" t="e">
        <f>VLOOKUP(CONCATENATE(form!$C$12,".",form!$D$12),Лист1!$Q:$S,2,0)</f>
        <v>#N/A</v>
      </c>
      <c r="T12" s="286" t="e">
        <f>VLOOKUP(CONCATENATE(form!$E$12,".",form!$F$12,".",form!$G$12),Лист1!$U:$W,2,0)</f>
        <v>#N/A</v>
      </c>
      <c r="U12" s="287" t="e">
        <f>VLOOKUP(form!$I$12,Лист1!$Y:$AA,2,0)</f>
        <v>#N/A</v>
      </c>
      <c r="V12" s="287" t="e">
        <f>VLOOKUP(form!$J$12,Лист1!$AC:$AE,2,0)</f>
        <v>#N/A</v>
      </c>
      <c r="W12" s="287" t="e">
        <f>VLOOKUP(form!$K$12,Лист1!$AG:$AI,2,0)</f>
        <v>#N/A</v>
      </c>
      <c r="X12" s="287" t="e">
        <f>VLOOKUP(CONCATENATE(form!$L$12,".",form!$M$12),Лист1!$AK$14:$AM$59,2,0)</f>
        <v>#N/A</v>
      </c>
      <c r="Y12" s="287" t="e">
        <f>VLOOKUP(CONCATENATE(form!$L$12,".",form!$N$12),Лист1!$AO$13:$AQ$40,2,0)</f>
        <v>#N/A</v>
      </c>
      <c r="AA12" s="288" t="e">
        <f>VLOOKUP(CONCATENATE(form!$C$12,".",form!$D$12),Лист1!$L:$N,3,0)</f>
        <v>#N/A</v>
      </c>
      <c r="AB12" s="288" t="e">
        <f>VLOOKUP(CONCATENATE(form!$C$12,".",form!$D$12),Лист1!$Q:$S,3,0)</f>
        <v>#N/A</v>
      </c>
      <c r="AC12" s="288" t="e">
        <f>VLOOKUP(CONCATENATE(form!$E$12,".",form!$F$12,".",form!$G$12),Лист1!$U:$W,3,0)</f>
        <v>#N/A</v>
      </c>
      <c r="AD12" s="288" t="e">
        <f>VLOOKUP(form!$I$12,Лист1!$Y:$AA,3,0)</f>
        <v>#N/A</v>
      </c>
      <c r="AE12" s="288" t="e">
        <f>VLOOKUP(form!$J$12,Лист1!$AC:$AE,3,0)</f>
        <v>#N/A</v>
      </c>
      <c r="AF12" s="289" t="e">
        <f>VLOOKUP(form!$K$12,Лист1!$AG:$AI,3,0)</f>
        <v>#N/A</v>
      </c>
      <c r="AG12" s="288" t="e">
        <f>VLOOKUP(CONCATENATE(form!$L$12,".",form!$M$12),Лист1!$AK$14:$AM$59,3,0)</f>
        <v>#N/A</v>
      </c>
      <c r="AH12" s="288" t="e">
        <f>VLOOKUP(CONCATENATE(form!$L$12,".",form!$N$12),Лист1!$AO$13:$AQ$40,3,0)</f>
        <v>#N/A</v>
      </c>
      <c r="AJ12" s="290" t="e">
        <f>VLOOKUP(CONCATENATE(form!$C$12,".",form!$D$12,".",form!$H$12),Лист1!$DD:$DH,5,0)</f>
        <v>#N/A</v>
      </c>
      <c r="AK12" s="290" t="e">
        <f>VLOOKUP(CONCATENATE(form!$C$12,".",form!$J$12),Лист1!$DJ:$DN,5,0)</f>
        <v>#N/A</v>
      </c>
      <c r="AL12" s="290" t="e">
        <f>VLOOKUP(CONCATENATE(form!$C$12,".",form!$D$12,".",form!$K$12),Лист1!$DP:$DT,5,0)</f>
        <v>#N/A</v>
      </c>
      <c r="AM12" s="291"/>
      <c r="AN12" s="290" t="e">
        <f>VLOOKUP(CONCATENATE(form!$C$12,".",form!$L$12),Лист1!$DV:$DZ,5,0)</f>
        <v>#N/A</v>
      </c>
      <c r="AO12" s="290" t="e">
        <f>VLOOKUP(CONCATENATE(form!$C$12,".",form!$M$12),Лист1!$EB:$EF,5,0)</f>
        <v>#N/A</v>
      </c>
      <c r="AP12" s="612"/>
      <c r="AQ12" s="292" t="str">
        <f>IF(ISNA(AR12),"0",AR12)</f>
        <v>0</v>
      </c>
      <c r="AR12" s="623" t="e">
        <f>VLOOKUP(CONCATENATE(form!$C$12,".",form!$G$12),Лист1!$EH:$EL,5,0)</f>
        <v>#N/A</v>
      </c>
      <c r="AS12" s="293" t="e">
        <f t="shared" si="8"/>
        <v>#N/A</v>
      </c>
      <c r="AU12" s="616">
        <f t="shared" si="7"/>
        <v>0</v>
      </c>
      <c r="AV12" s="294">
        <f t="shared" si="9"/>
        <v>0</v>
      </c>
      <c r="AX12" s="294"/>
    </row>
    <row r="13" spans="2:50" s="273" customFormat="1" ht="24.9" customHeight="1" x14ac:dyDescent="0.2">
      <c r="B13" s="376">
        <v>2</v>
      </c>
      <c r="C13" s="565" t="str">
        <f t="shared" si="0"/>
        <v/>
      </c>
      <c r="D13" s="567" t="str">
        <f t="shared" si="1"/>
        <v/>
      </c>
      <c r="E13" s="461" t="str">
        <f>IF(OR(J13=0,J13=""),"",VLOOKUP(R13,Лист1!$M:$O,3,0))</f>
        <v/>
      </c>
      <c r="F13" s="280" t="str">
        <f t="shared" si="2"/>
        <v/>
      </c>
      <c r="G13" s="586" t="str">
        <f t="shared" si="3"/>
        <v/>
      </c>
      <c r="H13" s="281" t="str">
        <f t="shared" si="4"/>
        <v/>
      </c>
      <c r="J13" s="282" t="str">
        <f>form!$DE$12</f>
        <v/>
      </c>
      <c r="L13" s="295" t="str">
        <f>IF(G13="","",CONCATENATE(R13,".",T13,".",S13,".",U13,".",X13,".",Y13))</f>
        <v/>
      </c>
      <c r="M13" s="295" t="str">
        <f>IF(G13="","",CONCATENATE(AA13,", ",AB13,", ",AC13,", ",AD13,", ",AG13,", ",AH13))</f>
        <v/>
      </c>
      <c r="N13" s="295" t="str">
        <f t="shared" si="5"/>
        <v/>
      </c>
      <c r="O13" s="295" t="str">
        <f t="shared" si="6"/>
        <v/>
      </c>
      <c r="Q13" s="296" t="s">
        <v>254</v>
      </c>
      <c r="R13" s="285" t="e">
        <f>VLOOKUP(CONCATENATE(form!$CV$12,".",form!$CW$12),Лист1!$L:$N,2,0)</f>
        <v>#N/A</v>
      </c>
      <c r="S13" s="286" t="e">
        <f>VLOOKUP(CONCATENATE(form!$CV$12,".",form!$CW$12),Лист1!$Q:$S,2,0)</f>
        <v>#N/A</v>
      </c>
      <c r="T13" s="286" t="e">
        <f>VLOOKUP(CONCATENATE(form!$CV$12,".",form!$CX$12,".",form!$CY$12,".",form!$CZ$12),Лист1!$U:$W,2,0)</f>
        <v>#N/A</v>
      </c>
      <c r="U13" s="287" t="e">
        <f>VLOOKUP(form!$DB$12,Лист1!$Y:$AA,2,0)</f>
        <v>#N/A</v>
      </c>
      <c r="V13" s="297"/>
      <c r="W13" s="297"/>
      <c r="X13" s="287" t="e">
        <f>VLOOKUP(form!$DC$12,Лист1!$AK$63:$AM$77,2,0)</f>
        <v>#N/A</v>
      </c>
      <c r="Y13" s="287" t="e">
        <f>VLOOKUP(form!$DD$12,Лист1!$AO$43:$AQ$60,2,0)</f>
        <v>#N/A</v>
      </c>
      <c r="AA13" s="295" t="e">
        <f>VLOOKUP(CONCATENATE(form!$CV$12,".",form!$CW$12),Лист1!$L:$N,3,0)</f>
        <v>#N/A</v>
      </c>
      <c r="AB13" s="295" t="e">
        <f>VLOOKUP(CONCATENATE(form!$CV$12,".",form!$CW$12),Лист1!$Q:$S,3,0)</f>
        <v>#N/A</v>
      </c>
      <c r="AC13" s="295" t="e">
        <f>VLOOKUP(CONCATENATE(form!$CV$12,".",form!$CX$12,".",form!$CY$12,".",form!$CZ$12),Лист1!$U:$W,3,0)</f>
        <v>#N/A</v>
      </c>
      <c r="AD13" s="295" t="e">
        <f>VLOOKUP(form!$DB$12,Лист1!$Y:$AA,3,0)</f>
        <v>#N/A</v>
      </c>
      <c r="AE13" s="298"/>
      <c r="AF13" s="298"/>
      <c r="AG13" s="299" t="e">
        <f>VLOOKUP(form!$DC$12,Лист1!$AK$63:$AM$77,3,0)</f>
        <v>#N/A</v>
      </c>
      <c r="AH13" s="295" t="e">
        <f>VLOOKUP(form!$DD$12,Лист1!$AO$43:$AQ$60,3,0)</f>
        <v>#N/A</v>
      </c>
      <c r="AJ13" s="300" t="e">
        <f>VLOOKUP(CONCATENATE(form!$CV$12,".",form!$CW$12,".",form!$DA$12),Лист1!$DD:$DH,5,0)</f>
        <v>#N/A</v>
      </c>
      <c r="AK13" s="301"/>
      <c r="AL13" s="301"/>
      <c r="AM13" s="301"/>
      <c r="AN13" s="290" t="e">
        <f>VLOOKUP(CONCATENATE(form!$CV$12,".",form!$DC$12),Лист1!$DV:$DZ,5,0)</f>
        <v>#N/A</v>
      </c>
      <c r="AO13" s="301"/>
      <c r="AP13" s="300" t="e">
        <f>VLOOKUP(CONCATENATE(form!$CV$12,".",form!$CW$12,".",form!$DA$12,".",form!$CY$12),Лист1!$EH:$EL,5,0)</f>
        <v>#N/A</v>
      </c>
      <c r="AQ13" s="302"/>
      <c r="AR13" s="302"/>
      <c r="AS13" s="293" t="e">
        <f t="shared" si="8"/>
        <v>#N/A</v>
      </c>
      <c r="AU13" s="616">
        <f t="shared" si="7"/>
        <v>0</v>
      </c>
      <c r="AV13" s="294">
        <f t="shared" si="9"/>
        <v>0</v>
      </c>
      <c r="AX13" s="294"/>
    </row>
    <row r="14" spans="2:50" s="273" customFormat="1" ht="24.9" customHeight="1" x14ac:dyDescent="0.2">
      <c r="B14" s="377"/>
      <c r="C14" s="566" t="str">
        <f t="shared" si="0"/>
        <v/>
      </c>
      <c r="D14" s="568" t="str">
        <f t="shared" si="1"/>
        <v/>
      </c>
      <c r="E14" s="462" t="str">
        <f>IF(OR(J14=0,J14=""),"",VLOOKUP(R14,Лист1!$M:$O,3,0))</f>
        <v/>
      </c>
      <c r="F14" s="303" t="str">
        <f t="shared" si="2"/>
        <v/>
      </c>
      <c r="G14" s="587" t="str">
        <f t="shared" si="3"/>
        <v/>
      </c>
      <c r="H14" s="304" t="str">
        <f t="shared" si="4"/>
        <v/>
      </c>
      <c r="J14" s="282" t="str">
        <f>form!$DL$12</f>
        <v/>
      </c>
      <c r="L14" s="305" t="str">
        <f>IF(G14="","",CONCATENATE(R14,".",T14,".",S14,".",U14))</f>
        <v/>
      </c>
      <c r="M14" s="305" t="str">
        <f>IF(G14="","",CONCATENATE(AA14,", ",AC14,", ",AD14))</f>
        <v/>
      </c>
      <c r="N14" s="305" t="str">
        <f t="shared" si="5"/>
        <v/>
      </c>
      <c r="O14" s="305" t="str">
        <f t="shared" si="6"/>
        <v/>
      </c>
      <c r="Q14" s="306" t="s">
        <v>255</v>
      </c>
      <c r="R14" s="307" t="e">
        <f>VLOOKUP(form!$DG$12,Лист1!$L:$N,2,0)</f>
        <v>#N/A</v>
      </c>
      <c r="S14" s="308" t="e">
        <f>VLOOKUP(form!$DG$12,Лист1!$Q:$S,2,0)</f>
        <v>#N/A</v>
      </c>
      <c r="T14" s="308" t="e">
        <f>VLOOKUP(CONCATENATE(form!$DG$12,".",form!$DI$12),Лист1!$U:$W,2,0)</f>
        <v>#N/A</v>
      </c>
      <c r="U14" s="309" t="e">
        <f>VLOOKUP(form!$DK$12,Лист1!$Y:$AA,2,0)</f>
        <v>#N/A</v>
      </c>
      <c r="V14" s="310"/>
      <c r="W14" s="310"/>
      <c r="X14" s="310"/>
      <c r="Y14" s="310"/>
      <c r="AA14" s="305" t="e">
        <f>VLOOKUP(form!$DG$12,Лист1!$L:$N,3,0)</f>
        <v>#N/A</v>
      </c>
      <c r="AB14" s="310"/>
      <c r="AC14" s="305" t="e">
        <f>VLOOKUP(CONCATENATE(form!$DG$12,".",form!$DI$12),Лист1!$U:$W,3,0)</f>
        <v>#N/A</v>
      </c>
      <c r="AD14" s="305" t="e">
        <f>VLOOKUP(form!$DK$12,Лист1!$Y:$AA,3,0)</f>
        <v>#N/A</v>
      </c>
      <c r="AE14" s="310"/>
      <c r="AF14" s="310"/>
      <c r="AG14" s="310"/>
      <c r="AH14" s="310"/>
      <c r="AJ14" s="311" t="e">
        <f>VLOOKUP(CONCATENATE(form!$DG$12,".",form!$DJ$12),Лист1!$DD:$DH,5,0)</f>
        <v>#N/A</v>
      </c>
      <c r="AK14" s="310"/>
      <c r="AL14" s="310"/>
      <c r="AM14" s="310"/>
      <c r="AN14" s="310"/>
      <c r="AO14" s="310"/>
      <c r="AP14" s="311" t="e">
        <f>VLOOKUP(CONCATENATE(form!$DG$12,".",form!$DJ$12,".",form!$DH$12),Лист1!$EH:$EL,5,0)</f>
        <v>#N/A</v>
      </c>
      <c r="AQ14" s="312"/>
      <c r="AR14" s="312"/>
      <c r="AS14" s="313" t="e">
        <f t="shared" si="8"/>
        <v>#N/A</v>
      </c>
      <c r="AU14" s="617">
        <f t="shared" si="7"/>
        <v>0</v>
      </c>
      <c r="AV14" s="314">
        <f t="shared" si="9"/>
        <v>0</v>
      </c>
      <c r="AX14" s="294"/>
    </row>
    <row r="15" spans="2:50" s="273" customFormat="1" ht="24.9" customHeight="1" x14ac:dyDescent="0.2">
      <c r="B15" s="378"/>
      <c r="C15" s="565" t="str">
        <f t="shared" ref="C15:C53" si="10">IF(ISNA(L15),"",L15)</f>
        <v/>
      </c>
      <c r="D15" s="567" t="str">
        <f t="shared" ref="D15:D53" si="11">IF(ISNA(M15),"",M15)</f>
        <v/>
      </c>
      <c r="E15" s="461" t="str">
        <f>IF(OR(J15=0,J15=""),"",VLOOKUP(R15,Лист1!$M:$O,3,0))</f>
        <v/>
      </c>
      <c r="F15" s="280" t="str">
        <f t="shared" ref="F15:F53" si="12">IF(ISNA(N15),"",N15)</f>
        <v/>
      </c>
      <c r="G15" s="586" t="str">
        <f t="shared" ref="G15:G53" si="13">IF(J15=0,"",J15)</f>
        <v/>
      </c>
      <c r="H15" s="281" t="str">
        <f t="shared" ref="H15:H53" si="14">IF(ISNA(O15),"",O15)</f>
        <v/>
      </c>
      <c r="J15" s="282">
        <f>form!$R$13</f>
        <v>0</v>
      </c>
      <c r="L15" s="283" t="str">
        <f>IF(G15="","",CONCATENATE(R15,".",S15,".",T15,".",U15,".",V15,".",W15,".",X15,".",Y15))</f>
        <v/>
      </c>
      <c r="M15" s="283" t="str">
        <f>IF(G15="","",CONCATENATE(AA15,", ",AB15,", ",AC15,", ",AD15,", ",AE15,", ",AF15,", ",AG15,", ",AH15))</f>
        <v/>
      </c>
      <c r="N15" s="283" t="str">
        <f t="shared" si="5"/>
        <v/>
      </c>
      <c r="O15" s="283" t="str">
        <f t="shared" si="6"/>
        <v/>
      </c>
      <c r="Q15" s="284" t="s">
        <v>253</v>
      </c>
      <c r="R15" s="285" t="e">
        <f>VLOOKUP(CONCATENATE(form!$C$13,".",form!$D$13),Лист1!$L:$N,2,0)</f>
        <v>#N/A</v>
      </c>
      <c r="S15" s="286" t="e">
        <f>VLOOKUP(CONCATENATE(form!$C$13,".",form!$D$13),Лист1!$Q:$S,2,0)</f>
        <v>#N/A</v>
      </c>
      <c r="T15" s="286" t="e">
        <f>VLOOKUP(CONCATENATE(form!$E$13,".",form!$F$13,".",form!$G$13),Лист1!$U:$W,2,0)</f>
        <v>#N/A</v>
      </c>
      <c r="U15" s="287" t="e">
        <f>VLOOKUP(form!$I$13,Лист1!$Y:$AA,2,0)</f>
        <v>#N/A</v>
      </c>
      <c r="V15" s="287" t="e">
        <f>VLOOKUP(form!$J$13,Лист1!$AC:$AE,2,0)</f>
        <v>#N/A</v>
      </c>
      <c r="W15" s="287" t="e">
        <f>VLOOKUP(form!$K$13,Лист1!$AG:$AI,2,0)</f>
        <v>#N/A</v>
      </c>
      <c r="X15" s="287" t="e">
        <f>VLOOKUP(CONCATENATE(form!$L$13,".",form!$M$13),Лист1!$AK$14:$AM$59,2,0)</f>
        <v>#N/A</v>
      </c>
      <c r="Y15" s="287" t="e">
        <f>VLOOKUP(CONCATENATE(form!$L$13,".",form!$N$13),Лист1!$AO$13:$AQ$40,2,0)</f>
        <v>#N/A</v>
      </c>
      <c r="AA15" s="288" t="e">
        <f>VLOOKUP(CONCATENATE(form!$C$13,".",form!$D$13),Лист1!$L:$N,3,0)</f>
        <v>#N/A</v>
      </c>
      <c r="AB15" s="288" t="e">
        <f>VLOOKUP(CONCATENATE(form!$C$13,".",form!$D$13),Лист1!$Q:$S,3,0)</f>
        <v>#N/A</v>
      </c>
      <c r="AC15" s="288" t="e">
        <f>VLOOKUP(CONCATENATE(form!$E$13,".",form!$F$13,".",form!$G$13),Лист1!$U:$W,3,0)</f>
        <v>#N/A</v>
      </c>
      <c r="AD15" s="288" t="e">
        <f>VLOOKUP(form!$I$13,Лист1!$Y:$AA,3,0)</f>
        <v>#N/A</v>
      </c>
      <c r="AE15" s="288" t="e">
        <f>VLOOKUP(form!$J$13,Лист1!$AC:$AE,3,0)</f>
        <v>#N/A</v>
      </c>
      <c r="AF15" s="289" t="e">
        <f>VLOOKUP(form!$K$13,Лист1!$AG:$AI,3,0)</f>
        <v>#N/A</v>
      </c>
      <c r="AG15" s="288" t="e">
        <f>VLOOKUP(CONCATENATE(form!$L$13,".",form!$M$13),Лист1!$AK$14:$AM$59,3,0)</f>
        <v>#N/A</v>
      </c>
      <c r="AH15" s="288" t="e">
        <f>VLOOKUP(CONCATENATE(form!$L$13,".",form!$N$13),Лист1!$AO$13:$AQ$40,3,0)</f>
        <v>#N/A</v>
      </c>
      <c r="AJ15" s="290" t="e">
        <f>VLOOKUP(CONCATENATE(form!$C$13,".",form!$D$13,".",form!$H$13),Лист1!$DD:$DH,5,0)</f>
        <v>#N/A</v>
      </c>
      <c r="AK15" s="290" t="e">
        <f>VLOOKUP(CONCATENATE(form!$C$13,".",form!$J$13),Лист1!$DJ:$DN,5,0)</f>
        <v>#N/A</v>
      </c>
      <c r="AL15" s="290" t="e">
        <f>VLOOKUP(CONCATENATE(form!$C$13,".",form!$D$13,".",form!$K$13),Лист1!$DP:$DT,5,0)</f>
        <v>#N/A</v>
      </c>
      <c r="AM15" s="291"/>
      <c r="AN15" s="290" t="e">
        <f>VLOOKUP(CONCATENATE(form!$C$13,".",form!$L$13),Лист1!$DV:$DZ,5,0)</f>
        <v>#N/A</v>
      </c>
      <c r="AO15" s="290" t="e">
        <f>VLOOKUP(CONCATENATE(form!$C$13,".",form!$M$13),Лист1!$EB:$EF,5,0)</f>
        <v>#N/A</v>
      </c>
      <c r="AP15" s="612"/>
      <c r="AQ15" s="292" t="str">
        <f>IF(ISNA(AR15),"0",AR15)</f>
        <v>0</v>
      </c>
      <c r="AR15" s="623" t="e">
        <f>VLOOKUP(CONCATENATE(form!$C$13,".",form!$G$13),Лист1!$EH:$EL,5,0)</f>
        <v>#N/A</v>
      </c>
      <c r="AS15" s="293" t="e">
        <f t="shared" si="8"/>
        <v>#N/A</v>
      </c>
      <c r="AU15" s="616">
        <f t="shared" si="7"/>
        <v>0</v>
      </c>
      <c r="AV15" s="294">
        <f t="shared" si="9"/>
        <v>0</v>
      </c>
      <c r="AX15" s="294"/>
    </row>
    <row r="16" spans="2:50" s="273" customFormat="1" ht="24.9" customHeight="1" x14ac:dyDescent="0.2">
      <c r="B16" s="376">
        <v>3</v>
      </c>
      <c r="C16" s="565" t="str">
        <f t="shared" si="10"/>
        <v/>
      </c>
      <c r="D16" s="567" t="str">
        <f t="shared" si="11"/>
        <v/>
      </c>
      <c r="E16" s="461" t="str">
        <f>IF(OR(J16=0,J16=""),"",VLOOKUP(R16,Лист1!$M:$O,3,0))</f>
        <v/>
      </c>
      <c r="F16" s="280" t="str">
        <f t="shared" si="12"/>
        <v/>
      </c>
      <c r="G16" s="586" t="str">
        <f t="shared" si="13"/>
        <v/>
      </c>
      <c r="H16" s="281" t="str">
        <f t="shared" si="14"/>
        <v/>
      </c>
      <c r="J16" s="282" t="str">
        <f>form!$DE$13</f>
        <v/>
      </c>
      <c r="L16" s="295" t="str">
        <f>IF(G16="","",CONCATENATE(R16,".",T16,".",S16,".",U16,".",X16,".",Y16))</f>
        <v/>
      </c>
      <c r="M16" s="295" t="str">
        <f>IF(G16="","",CONCATENATE(AA16,", ",AB16,", ",AC16,", ",AD16,", ",AG16,", ",AH16))</f>
        <v/>
      </c>
      <c r="N16" s="295" t="str">
        <f t="shared" si="5"/>
        <v/>
      </c>
      <c r="O16" s="295" t="str">
        <f t="shared" si="6"/>
        <v/>
      </c>
      <c r="Q16" s="296" t="s">
        <v>254</v>
      </c>
      <c r="R16" s="285" t="e">
        <f>VLOOKUP(CONCATENATE(form!$CV$13,".",form!$CW$13),Лист1!$L:$N,2,0)</f>
        <v>#N/A</v>
      </c>
      <c r="S16" s="286" t="e">
        <f>VLOOKUP(CONCATENATE(form!$CV$13,".",form!$CW$13),Лист1!$Q:$S,2,0)</f>
        <v>#N/A</v>
      </c>
      <c r="T16" s="286" t="e">
        <f>VLOOKUP(CONCATENATE(form!$CV$13,".",form!$CX$13,".",form!$CY$13,".",form!$CZ$13),Лист1!$U:$W,2,0)</f>
        <v>#N/A</v>
      </c>
      <c r="U16" s="287" t="e">
        <f>VLOOKUP(form!$DB$13,Лист1!$Y:$AA,2,0)</f>
        <v>#N/A</v>
      </c>
      <c r="V16" s="297"/>
      <c r="W16" s="297"/>
      <c r="X16" s="287" t="e">
        <f>VLOOKUP(form!$DC$13,Лист1!$AK$63:$AM$77,2,0)</f>
        <v>#N/A</v>
      </c>
      <c r="Y16" s="287" t="e">
        <f>VLOOKUP(form!$DD$13,Лист1!$AO$43:$AQ$60,2,0)</f>
        <v>#N/A</v>
      </c>
      <c r="AA16" s="295" t="e">
        <f>VLOOKUP(CONCATENATE(form!$CV$13,".",form!$CW$13),Лист1!$L:$N,3,0)</f>
        <v>#N/A</v>
      </c>
      <c r="AB16" s="295" t="e">
        <f>VLOOKUP(CONCATENATE(form!$CV$13,".",form!$CW$13),Лист1!$Q:$S,3,0)</f>
        <v>#N/A</v>
      </c>
      <c r="AC16" s="295" t="e">
        <f>VLOOKUP(CONCATENATE(form!$CV$13,".",form!$CX$13,".",form!$CY$13,".",form!$CZ$13),Лист1!$U:$W,3,0)</f>
        <v>#N/A</v>
      </c>
      <c r="AD16" s="295" t="e">
        <f>VLOOKUP(form!$DB$13,Лист1!$Y:$AA,3,0)</f>
        <v>#N/A</v>
      </c>
      <c r="AE16" s="298"/>
      <c r="AF16" s="298"/>
      <c r="AG16" s="299" t="e">
        <f>VLOOKUP(form!$DC$13,Лист1!$AK$63:$AM$77,3,0)</f>
        <v>#N/A</v>
      </c>
      <c r="AH16" s="295" t="e">
        <f>VLOOKUP(form!$DD$13,Лист1!$AO$43:$AQ$60,3,0)</f>
        <v>#N/A</v>
      </c>
      <c r="AJ16" s="300" t="e">
        <f>VLOOKUP(CONCATENATE(form!$CV$13,".",form!$CW$13,".",form!$DA$13),Лист1!$DD:$DH,5,0)</f>
        <v>#N/A</v>
      </c>
      <c r="AK16" s="301"/>
      <c r="AL16" s="301"/>
      <c r="AM16" s="301"/>
      <c r="AN16" s="290" t="e">
        <f>VLOOKUP(CONCATENATE(form!$CV$13,".",form!$DC$13),Лист1!$DV:$DZ,5,0)</f>
        <v>#N/A</v>
      </c>
      <c r="AO16" s="301"/>
      <c r="AP16" s="300" t="e">
        <f>VLOOKUP(CONCATENATE(form!$CV$13,".",form!$CW$13,".",form!$DA$13,".",form!$CY$13),Лист1!$EH:$EL,5,0)</f>
        <v>#N/A</v>
      </c>
      <c r="AQ16" s="302"/>
      <c r="AR16" s="302"/>
      <c r="AS16" s="293" t="e">
        <f t="shared" si="8"/>
        <v>#N/A</v>
      </c>
      <c r="AU16" s="616">
        <f t="shared" si="7"/>
        <v>0</v>
      </c>
      <c r="AV16" s="294">
        <f t="shared" si="9"/>
        <v>0</v>
      </c>
      <c r="AX16" s="294"/>
    </row>
    <row r="17" spans="2:50" s="273" customFormat="1" ht="24.9" customHeight="1" x14ac:dyDescent="0.2">
      <c r="B17" s="377"/>
      <c r="C17" s="566" t="str">
        <f t="shared" si="10"/>
        <v/>
      </c>
      <c r="D17" s="568" t="str">
        <f t="shared" si="11"/>
        <v/>
      </c>
      <c r="E17" s="462" t="str">
        <f>IF(OR(J17=0,J17=""),"",VLOOKUP(R17,Лист1!$M:$O,3,0))</f>
        <v/>
      </c>
      <c r="F17" s="303" t="str">
        <f t="shared" si="12"/>
        <v/>
      </c>
      <c r="G17" s="587" t="str">
        <f t="shared" si="13"/>
        <v/>
      </c>
      <c r="H17" s="304" t="str">
        <f t="shared" si="14"/>
        <v/>
      </c>
      <c r="J17" s="282" t="str">
        <f>form!$DL$13</f>
        <v/>
      </c>
      <c r="L17" s="305" t="str">
        <f>IF(G17="","",CONCATENATE(R17,".",T17,".",S17,".",U17))</f>
        <v/>
      </c>
      <c r="M17" s="305" t="str">
        <f>IF(G17="","",CONCATENATE(AA17,", ",AC17,", ",AD17))</f>
        <v/>
      </c>
      <c r="N17" s="305" t="str">
        <f t="shared" si="5"/>
        <v/>
      </c>
      <c r="O17" s="305" t="str">
        <f t="shared" si="6"/>
        <v/>
      </c>
      <c r="Q17" s="306" t="s">
        <v>255</v>
      </c>
      <c r="R17" s="307" t="e">
        <f>VLOOKUP(form!$DG$13,Лист1!$L:$N,2,0)</f>
        <v>#N/A</v>
      </c>
      <c r="S17" s="308" t="e">
        <f>VLOOKUP(form!$DG$13,Лист1!$Q:$S,2,0)</f>
        <v>#N/A</v>
      </c>
      <c r="T17" s="308" t="e">
        <f>VLOOKUP(CONCATENATE(form!$DG$13,".",form!$DI$13),Лист1!$U:$W,2,0)</f>
        <v>#N/A</v>
      </c>
      <c r="U17" s="309" t="e">
        <f>VLOOKUP(form!$DK$13,Лист1!$Y:$AA,2,0)</f>
        <v>#N/A</v>
      </c>
      <c r="V17" s="310"/>
      <c r="W17" s="310"/>
      <c r="X17" s="310"/>
      <c r="Y17" s="310"/>
      <c r="AA17" s="305" t="e">
        <f>VLOOKUP(form!$DG$13,Лист1!$L:$N,3,0)</f>
        <v>#N/A</v>
      </c>
      <c r="AB17" s="310"/>
      <c r="AC17" s="305" t="e">
        <f>VLOOKUP(CONCATENATE(form!$DG$13,".",form!$DI$13),Лист1!$U:$W,3,0)</f>
        <v>#N/A</v>
      </c>
      <c r="AD17" s="305" t="e">
        <f>VLOOKUP(form!$DK$13,Лист1!$Y:$AA,3,0)</f>
        <v>#N/A</v>
      </c>
      <c r="AE17" s="310"/>
      <c r="AF17" s="310"/>
      <c r="AG17" s="310"/>
      <c r="AH17" s="310"/>
      <c r="AJ17" s="311" t="e">
        <f>VLOOKUP(CONCATENATE(form!$DG$13,".",form!$DJ$13),Лист1!$DD:$DH,5,0)</f>
        <v>#N/A</v>
      </c>
      <c r="AK17" s="310"/>
      <c r="AL17" s="310"/>
      <c r="AM17" s="310"/>
      <c r="AN17" s="310"/>
      <c r="AO17" s="310"/>
      <c r="AP17" s="311" t="e">
        <f>VLOOKUP(CONCATENATE(form!$DG$13,".",form!$DJ$13,".",form!$DH$13),Лист1!$EH:$EL,5,0)</f>
        <v>#N/A</v>
      </c>
      <c r="AQ17" s="312"/>
      <c r="AR17" s="312"/>
      <c r="AS17" s="313" t="e">
        <f t="shared" si="8"/>
        <v>#N/A</v>
      </c>
      <c r="AU17" s="617">
        <f t="shared" si="7"/>
        <v>0</v>
      </c>
      <c r="AV17" s="314">
        <f t="shared" si="9"/>
        <v>0</v>
      </c>
      <c r="AX17" s="294"/>
    </row>
    <row r="18" spans="2:50" s="273" customFormat="1" ht="24.9" customHeight="1" x14ac:dyDescent="0.2">
      <c r="B18" s="378"/>
      <c r="C18" s="565" t="str">
        <f t="shared" si="10"/>
        <v/>
      </c>
      <c r="D18" s="567" t="str">
        <f t="shared" si="11"/>
        <v/>
      </c>
      <c r="E18" s="461" t="str">
        <f>IF(OR(J18=0,J18=""),"",VLOOKUP(R18,Лист1!$M:$O,3,0))</f>
        <v/>
      </c>
      <c r="F18" s="280" t="str">
        <f t="shared" si="12"/>
        <v/>
      </c>
      <c r="G18" s="586" t="str">
        <f t="shared" si="13"/>
        <v/>
      </c>
      <c r="H18" s="281" t="str">
        <f t="shared" si="14"/>
        <v/>
      </c>
      <c r="J18" s="282">
        <f>form!$R$14</f>
        <v>0</v>
      </c>
      <c r="L18" s="283" t="str">
        <f>IF(G18="","",CONCATENATE(R18,".",S18,".",T18,".",U18,".",V18,".",W18,".",X18,".",Y18))</f>
        <v/>
      </c>
      <c r="M18" s="283" t="str">
        <f>IF(G18="","",CONCATENATE(AA18,", ",AB18,", ",AC18,", ",AD18,", ",AE18,", ",AF18,", ",AG18,", ",AH18))</f>
        <v/>
      </c>
      <c r="N18" s="283" t="str">
        <f t="shared" si="5"/>
        <v/>
      </c>
      <c r="O18" s="283" t="str">
        <f t="shared" si="6"/>
        <v/>
      </c>
      <c r="Q18" s="284" t="s">
        <v>253</v>
      </c>
      <c r="R18" s="285" t="e">
        <f>VLOOKUP(CONCATENATE(form!$C$14,".",form!$D$14),Лист1!$L:$N,2,0)</f>
        <v>#N/A</v>
      </c>
      <c r="S18" s="286" t="e">
        <f>VLOOKUP(CONCATENATE(form!$C$14,".",form!$D$14),Лист1!$Q:$S,2,0)</f>
        <v>#N/A</v>
      </c>
      <c r="T18" s="286" t="e">
        <f>VLOOKUP(CONCATENATE(form!$E$14,".",form!$F$14,".",form!$G$14),Лист1!$U:$W,2,0)</f>
        <v>#N/A</v>
      </c>
      <c r="U18" s="287" t="e">
        <f>VLOOKUP(form!$I$14,Лист1!$Y:$AA,2,0)</f>
        <v>#N/A</v>
      </c>
      <c r="V18" s="287" t="e">
        <f>VLOOKUP(form!$J$14,Лист1!$AC:$AE,2,0)</f>
        <v>#N/A</v>
      </c>
      <c r="W18" s="287" t="e">
        <f>VLOOKUP(form!$K$14,Лист1!$AG:$AI,2,0)</f>
        <v>#N/A</v>
      </c>
      <c r="X18" s="287" t="e">
        <f>VLOOKUP(CONCATENATE(form!$L$14,".",form!$M$14),Лист1!$AK$14:$AM$59,2,0)</f>
        <v>#N/A</v>
      </c>
      <c r="Y18" s="287" t="e">
        <f>VLOOKUP(CONCATENATE(form!$L$14,".",form!$N$14),Лист1!$AO$13:$AQ$40,2,0)</f>
        <v>#N/A</v>
      </c>
      <c r="AA18" s="288" t="e">
        <f>VLOOKUP(CONCATENATE(form!$C$14,".",form!$D$14),Лист1!$L:$N,3,0)</f>
        <v>#N/A</v>
      </c>
      <c r="AB18" s="288" t="e">
        <f>VLOOKUP(CONCATENATE(form!$C$14,".",form!$D$14),Лист1!$Q:$S,3,0)</f>
        <v>#N/A</v>
      </c>
      <c r="AC18" s="288" t="e">
        <f>VLOOKUP(CONCATENATE(form!$E$14,".",form!$F$14,".",form!$G$14),Лист1!$U:$W,3,0)</f>
        <v>#N/A</v>
      </c>
      <c r="AD18" s="288" t="e">
        <f>VLOOKUP(form!$I$14,Лист1!$Y:$AA,3,0)</f>
        <v>#N/A</v>
      </c>
      <c r="AE18" s="288" t="e">
        <f>VLOOKUP(form!$J$14,Лист1!$AC:$AE,3,0)</f>
        <v>#N/A</v>
      </c>
      <c r="AF18" s="289" t="e">
        <f>VLOOKUP(form!$K$14,Лист1!$AG:$AI,3,0)</f>
        <v>#N/A</v>
      </c>
      <c r="AG18" s="288" t="e">
        <f>VLOOKUP(CONCATENATE(form!$L$14,".",form!$M$14),Лист1!$AK$14:$AM$59,3,0)</f>
        <v>#N/A</v>
      </c>
      <c r="AH18" s="288" t="e">
        <f>VLOOKUP(CONCATENATE(form!$L$14,".",form!$N$14),Лист1!$AO$13:$AQ$40,3,0)</f>
        <v>#N/A</v>
      </c>
      <c r="AJ18" s="290" t="e">
        <f>VLOOKUP(CONCATENATE(form!$C$14,".",form!$D$14,".",form!$H$14),Лист1!$DD:$DH,5,0)</f>
        <v>#N/A</v>
      </c>
      <c r="AK18" s="290" t="e">
        <f>VLOOKUP(CONCATENATE(form!$C$14,".",form!$J$14),Лист1!$DJ:$DN,5,0)</f>
        <v>#N/A</v>
      </c>
      <c r="AL18" s="290" t="e">
        <f>VLOOKUP(CONCATENATE(form!$C$14,".",form!$D$14,".",form!$K$14),Лист1!$DP:$DT,5,0)</f>
        <v>#N/A</v>
      </c>
      <c r="AM18" s="291"/>
      <c r="AN18" s="290" t="e">
        <f>VLOOKUP(CONCATENATE(form!$C$14,".",form!$L$14),Лист1!$DV:$DZ,5,0)</f>
        <v>#N/A</v>
      </c>
      <c r="AO18" s="290" t="e">
        <f>VLOOKUP(CONCATENATE(form!$C$14,".",form!$M$14),Лист1!$EB:$EF,5,0)</f>
        <v>#N/A</v>
      </c>
      <c r="AP18" s="612"/>
      <c r="AQ18" s="292" t="str">
        <f>IF(ISNA(AR18),"0",AR18)</f>
        <v>0</v>
      </c>
      <c r="AR18" s="623" t="e">
        <f>VLOOKUP(CONCATENATE(form!$C$14,".",form!$G$14),Лист1!$EH:$EL,5,0)</f>
        <v>#N/A</v>
      </c>
      <c r="AS18" s="293" t="e">
        <f t="shared" si="8"/>
        <v>#N/A</v>
      </c>
      <c r="AU18" s="616">
        <f t="shared" si="7"/>
        <v>0</v>
      </c>
      <c r="AV18" s="294">
        <f t="shared" si="9"/>
        <v>0</v>
      </c>
      <c r="AX18" s="294"/>
    </row>
    <row r="19" spans="2:50" s="273" customFormat="1" ht="24.9" customHeight="1" x14ac:dyDescent="0.2">
      <c r="B19" s="376">
        <v>4</v>
      </c>
      <c r="C19" s="565" t="str">
        <f t="shared" si="10"/>
        <v/>
      </c>
      <c r="D19" s="567" t="str">
        <f t="shared" si="11"/>
        <v/>
      </c>
      <c r="E19" s="461" t="str">
        <f>IF(OR(J19=0,J19=""),"",VLOOKUP(R19,Лист1!$M:$O,3,0))</f>
        <v/>
      </c>
      <c r="F19" s="280" t="str">
        <f t="shared" si="12"/>
        <v/>
      </c>
      <c r="G19" s="586" t="str">
        <f t="shared" si="13"/>
        <v/>
      </c>
      <c r="H19" s="281" t="str">
        <f t="shared" si="14"/>
        <v/>
      </c>
      <c r="J19" s="282" t="str">
        <f>form!$DE$14</f>
        <v/>
      </c>
      <c r="L19" s="295" t="str">
        <f>IF(G19="","",CONCATENATE(R19,".",T19,".",S19,".",U19,".",X19,".",Y19))</f>
        <v/>
      </c>
      <c r="M19" s="295" t="str">
        <f>IF(G19="","",CONCATENATE(AA19,", ",AB19,", ",AC19,", ",AD19,", ",AG19,", ",AH19))</f>
        <v/>
      </c>
      <c r="N19" s="295" t="str">
        <f t="shared" si="5"/>
        <v/>
      </c>
      <c r="O19" s="295" t="str">
        <f t="shared" si="6"/>
        <v/>
      </c>
      <c r="Q19" s="296" t="s">
        <v>254</v>
      </c>
      <c r="R19" s="285" t="e">
        <f>VLOOKUP(CONCATENATE(form!$CV$14,".",form!$CW$14),Лист1!$L:$N,2,0)</f>
        <v>#N/A</v>
      </c>
      <c r="S19" s="286" t="e">
        <f>VLOOKUP(CONCATENATE(form!$CV$14,".",form!$CW$14),Лист1!$Q:$S,2,0)</f>
        <v>#N/A</v>
      </c>
      <c r="T19" s="286" t="e">
        <f>VLOOKUP(CONCATENATE(form!$CV$14,".",form!$CX$14,".",form!$CY$14,".",form!$CZ$14),Лист1!$U:$W,2,0)</f>
        <v>#N/A</v>
      </c>
      <c r="U19" s="287" t="e">
        <f>VLOOKUP(form!$DB$14,Лист1!$Y:$AA,2,0)</f>
        <v>#N/A</v>
      </c>
      <c r="V19" s="297"/>
      <c r="W19" s="297"/>
      <c r="X19" s="287" t="e">
        <f>VLOOKUP(form!$DC$14,Лист1!$AK$63:$AM$77,2,0)</f>
        <v>#N/A</v>
      </c>
      <c r="Y19" s="287" t="e">
        <f>VLOOKUP(form!$DD$14,Лист1!$AO$43:$AQ$60,2,0)</f>
        <v>#N/A</v>
      </c>
      <c r="AA19" s="295" t="e">
        <f>VLOOKUP(CONCATENATE(form!$CV$14,".",form!$CW$14),Лист1!$L:$N,3,0)</f>
        <v>#N/A</v>
      </c>
      <c r="AB19" s="295" t="e">
        <f>VLOOKUP(CONCATENATE(form!$CV$14,".",form!$CW$14),Лист1!$Q:$S,3,0)</f>
        <v>#N/A</v>
      </c>
      <c r="AC19" s="295" t="e">
        <f>VLOOKUP(CONCATENATE(form!$CV$14,".",form!$CX$14,".",form!$CY$14,".",form!$CZ$14),Лист1!$U:$W,3,0)</f>
        <v>#N/A</v>
      </c>
      <c r="AD19" s="295" t="e">
        <f>VLOOKUP(form!$DB$14,Лист1!$Y:$AA,3,0)</f>
        <v>#N/A</v>
      </c>
      <c r="AE19" s="298"/>
      <c r="AF19" s="298"/>
      <c r="AG19" s="299" t="e">
        <f>VLOOKUP(form!$DC$14,Лист1!$AK$63:$AM$77,3,0)</f>
        <v>#N/A</v>
      </c>
      <c r="AH19" s="295" t="e">
        <f>VLOOKUP(form!$DD$14,Лист1!$AO$43:$AQ$60,3,0)</f>
        <v>#N/A</v>
      </c>
      <c r="AJ19" s="300" t="e">
        <f>VLOOKUP(CONCATENATE(form!$CV$14,".",form!$CW$14,".",form!$DA$14),Лист1!$DD:$DH,5,0)</f>
        <v>#N/A</v>
      </c>
      <c r="AK19" s="301"/>
      <c r="AL19" s="301"/>
      <c r="AM19" s="301"/>
      <c r="AN19" s="290" t="e">
        <f>VLOOKUP(CONCATENATE(form!$CV$14,".",form!$DC$14),Лист1!$DV:$DZ,5,0)</f>
        <v>#N/A</v>
      </c>
      <c r="AO19" s="301"/>
      <c r="AP19" s="300" t="e">
        <f>VLOOKUP(CONCATENATE(form!$CV$14,".",form!$CW$14,".",form!$DA$14,".",form!$CY$14),Лист1!$EH:$EL,5,0)</f>
        <v>#N/A</v>
      </c>
      <c r="AQ19" s="302"/>
      <c r="AR19" s="302"/>
      <c r="AS19" s="293" t="e">
        <f t="shared" si="8"/>
        <v>#N/A</v>
      </c>
      <c r="AU19" s="616">
        <f t="shared" si="7"/>
        <v>0</v>
      </c>
      <c r="AV19" s="294">
        <f t="shared" si="9"/>
        <v>0</v>
      </c>
      <c r="AX19" s="294"/>
    </row>
    <row r="20" spans="2:50" s="273" customFormat="1" ht="24.9" customHeight="1" x14ac:dyDescent="0.2">
      <c r="B20" s="377"/>
      <c r="C20" s="566" t="str">
        <f t="shared" si="10"/>
        <v/>
      </c>
      <c r="D20" s="568" t="str">
        <f t="shared" si="11"/>
        <v/>
      </c>
      <c r="E20" s="462" t="str">
        <f>IF(OR(J20=0,J20=""),"",VLOOKUP(R20,Лист1!$M:$O,3,0))</f>
        <v/>
      </c>
      <c r="F20" s="303" t="str">
        <f t="shared" si="12"/>
        <v/>
      </c>
      <c r="G20" s="587" t="str">
        <f t="shared" si="13"/>
        <v/>
      </c>
      <c r="H20" s="304" t="str">
        <f t="shared" si="14"/>
        <v/>
      </c>
      <c r="J20" s="282" t="str">
        <f>form!$DL$14</f>
        <v/>
      </c>
      <c r="L20" s="305" t="str">
        <f>IF(G20="","",CONCATENATE(R20,".",T20,".",S20,".",U20))</f>
        <v/>
      </c>
      <c r="M20" s="305" t="str">
        <f>IF(G20="","",CONCATENATE(AA20,", ",AC20,", ",AD20))</f>
        <v/>
      </c>
      <c r="N20" s="305" t="str">
        <f t="shared" si="5"/>
        <v/>
      </c>
      <c r="O20" s="305" t="str">
        <f t="shared" si="6"/>
        <v/>
      </c>
      <c r="Q20" s="306" t="s">
        <v>255</v>
      </c>
      <c r="R20" s="307" t="e">
        <f>VLOOKUP(form!$DG$14,Лист1!$L:$N,2,0)</f>
        <v>#N/A</v>
      </c>
      <c r="S20" s="308" t="e">
        <f>VLOOKUP(form!$DG$14,Лист1!$Q:$S,2,0)</f>
        <v>#N/A</v>
      </c>
      <c r="T20" s="308" t="e">
        <f>VLOOKUP(CONCATENATE(form!$DG$14,".",form!$DI$14),Лист1!$U:$W,2,0)</f>
        <v>#N/A</v>
      </c>
      <c r="U20" s="309" t="e">
        <f>VLOOKUP(form!$DK$14,Лист1!$Y:$AA,2,0)</f>
        <v>#N/A</v>
      </c>
      <c r="V20" s="310"/>
      <c r="W20" s="310"/>
      <c r="X20" s="310"/>
      <c r="Y20" s="310"/>
      <c r="AA20" s="305" t="e">
        <f>VLOOKUP(form!$DG$14,Лист1!$L:$N,3,0)</f>
        <v>#N/A</v>
      </c>
      <c r="AB20" s="310"/>
      <c r="AC20" s="305" t="e">
        <f>VLOOKUP(CONCATENATE(form!$DG$14,".",form!$DI$14),Лист1!$U:$W,3,0)</f>
        <v>#N/A</v>
      </c>
      <c r="AD20" s="305" t="e">
        <f>VLOOKUP(form!$DK$14,Лист1!$Y:$AA,3,0)</f>
        <v>#N/A</v>
      </c>
      <c r="AE20" s="310"/>
      <c r="AF20" s="310"/>
      <c r="AG20" s="310"/>
      <c r="AH20" s="310"/>
      <c r="AJ20" s="311" t="e">
        <f>VLOOKUP(CONCATENATE(form!$DG$14,".",form!$DJ$14),Лист1!$DD:$DH,5,0)</f>
        <v>#N/A</v>
      </c>
      <c r="AK20" s="310"/>
      <c r="AL20" s="310"/>
      <c r="AM20" s="310"/>
      <c r="AN20" s="310"/>
      <c r="AO20" s="310"/>
      <c r="AP20" s="311" t="e">
        <f>VLOOKUP(CONCATENATE(form!$DG$14,".",form!$DJ$14,".",form!$DH$14),Лист1!$EH:$EL,5,0)</f>
        <v>#N/A</v>
      </c>
      <c r="AQ20" s="312"/>
      <c r="AR20" s="312"/>
      <c r="AS20" s="313" t="e">
        <f t="shared" si="8"/>
        <v>#N/A</v>
      </c>
      <c r="AU20" s="617">
        <f t="shared" si="7"/>
        <v>0</v>
      </c>
      <c r="AV20" s="314">
        <f t="shared" si="9"/>
        <v>0</v>
      </c>
      <c r="AX20" s="294"/>
    </row>
    <row r="21" spans="2:50" s="273" customFormat="1" ht="24.9" customHeight="1" x14ac:dyDescent="0.2">
      <c r="B21" s="378"/>
      <c r="C21" s="565" t="str">
        <f t="shared" si="10"/>
        <v/>
      </c>
      <c r="D21" s="567" t="str">
        <f t="shared" si="11"/>
        <v/>
      </c>
      <c r="E21" s="461" t="str">
        <f>IF(OR(J21=0,J21=""),"",VLOOKUP(R21,Лист1!$M:$O,3,0))</f>
        <v/>
      </c>
      <c r="F21" s="280" t="str">
        <f t="shared" si="12"/>
        <v/>
      </c>
      <c r="G21" s="586" t="str">
        <f t="shared" si="13"/>
        <v/>
      </c>
      <c r="H21" s="281" t="str">
        <f t="shared" si="14"/>
        <v/>
      </c>
      <c r="J21" s="282">
        <f>form!$R$15</f>
        <v>0</v>
      </c>
      <c r="L21" s="283" t="str">
        <f>IF(G21="","",CONCATENATE(R21,".",S21,".",T21,".",U21,".",V21,".",W21,".",X21,".",Y21))</f>
        <v/>
      </c>
      <c r="M21" s="283" t="str">
        <f>IF(G21="","",CONCATENATE(AA21,", ",AB21,", ",AC21,", ",AD21,", ",AE21,", ",AF21,", ",AG21,", ",AH21))</f>
        <v/>
      </c>
      <c r="N21" s="283" t="str">
        <f t="shared" si="5"/>
        <v/>
      </c>
      <c r="O21" s="283" t="str">
        <f t="shared" si="6"/>
        <v/>
      </c>
      <c r="Q21" s="284" t="s">
        <v>253</v>
      </c>
      <c r="R21" s="285" t="e">
        <f>VLOOKUP(CONCATENATE(form!$C$15,".",form!$D$15),Лист1!$L:$N,2,0)</f>
        <v>#N/A</v>
      </c>
      <c r="S21" s="286" t="e">
        <f>VLOOKUP(CONCATENATE(form!$C$15,".",form!$D$15),Лист1!$Q:$S,2,0)</f>
        <v>#N/A</v>
      </c>
      <c r="T21" s="286" t="e">
        <f>VLOOKUP(CONCATENATE(form!$E$15,".",form!$F$15,".",form!$G$15),Лист1!$U:$W,2,0)</f>
        <v>#N/A</v>
      </c>
      <c r="U21" s="287" t="e">
        <f>VLOOKUP(form!$I$15,Лист1!$Y:$AA,2,0)</f>
        <v>#N/A</v>
      </c>
      <c r="V21" s="287" t="e">
        <f>VLOOKUP(form!$J$15,Лист1!$AC:$AE,2,0)</f>
        <v>#N/A</v>
      </c>
      <c r="W21" s="287" t="e">
        <f>VLOOKUP(form!$K$15,Лист1!$AG:$AI,2,0)</f>
        <v>#N/A</v>
      </c>
      <c r="X21" s="287" t="e">
        <f>VLOOKUP(CONCATENATE(form!$L$15,".",form!$M$15),Лист1!$AK$14:$AM$59,2,0)</f>
        <v>#N/A</v>
      </c>
      <c r="Y21" s="287" t="e">
        <f>VLOOKUP(CONCATENATE(form!$L$15,".",form!$N$15),Лист1!$AO$13:$AQ$40,2,0)</f>
        <v>#N/A</v>
      </c>
      <c r="AA21" s="288" t="e">
        <f>VLOOKUP(CONCATENATE(form!$C$15,".",form!$D$15),Лист1!$L:$N,3,0)</f>
        <v>#N/A</v>
      </c>
      <c r="AB21" s="288" t="e">
        <f>VLOOKUP(CONCATENATE(form!$C$15,".",form!$D$15),Лист1!$Q:$S,3,0)</f>
        <v>#N/A</v>
      </c>
      <c r="AC21" s="288" t="e">
        <f>VLOOKUP(CONCATENATE(form!$E$15,".",form!$F$15,".",form!$G$15),Лист1!$U:$W,3,0)</f>
        <v>#N/A</v>
      </c>
      <c r="AD21" s="288" t="e">
        <f>VLOOKUP(form!$I$15,Лист1!$Y:$AA,3,0)</f>
        <v>#N/A</v>
      </c>
      <c r="AE21" s="288" t="e">
        <f>VLOOKUP(form!$J$15,Лист1!$AC:$AE,3,0)</f>
        <v>#N/A</v>
      </c>
      <c r="AF21" s="289" t="e">
        <f>VLOOKUP(form!$K$15,Лист1!$AG:$AI,3,0)</f>
        <v>#N/A</v>
      </c>
      <c r="AG21" s="288" t="e">
        <f>VLOOKUP(CONCATENATE(form!$L$15,".",form!$M$15),Лист1!$AK$14:$AM$59,3,0)</f>
        <v>#N/A</v>
      </c>
      <c r="AH21" s="288" t="e">
        <f>VLOOKUP(CONCATENATE(form!$L$15,".",form!$N$15),Лист1!$AO$13:$AQ$40,3,0)</f>
        <v>#N/A</v>
      </c>
      <c r="AJ21" s="290" t="e">
        <f>VLOOKUP(CONCATENATE(form!$C$15,".",form!$D$15,".",form!$H$15),Лист1!$DD:$DH,5,0)</f>
        <v>#N/A</v>
      </c>
      <c r="AK21" s="290" t="e">
        <f>VLOOKUP(CONCATENATE(form!$C$15,".",form!$J$15),Лист1!$DJ:$DN,5,0)</f>
        <v>#N/A</v>
      </c>
      <c r="AL21" s="290" t="e">
        <f>VLOOKUP(CONCATENATE(form!$C$15,".",form!$D$15,".",form!$K$15),Лист1!$DP:$DT,5,0)</f>
        <v>#N/A</v>
      </c>
      <c r="AM21" s="291"/>
      <c r="AN21" s="290" t="e">
        <f>VLOOKUP(CONCATENATE(form!$C$15,".",form!$L$15),Лист1!$DV:$DZ,5,0)</f>
        <v>#N/A</v>
      </c>
      <c r="AO21" s="290" t="e">
        <f>VLOOKUP(CONCATENATE(form!$C$15,".",form!$M$15),Лист1!$EB:$EF,5,0)</f>
        <v>#N/A</v>
      </c>
      <c r="AP21" s="612"/>
      <c r="AQ21" s="292" t="str">
        <f>IF(ISNA(AR21),"0",AR21)</f>
        <v>0</v>
      </c>
      <c r="AR21" s="623" t="e">
        <f>VLOOKUP(CONCATENATE(form!$C$15,".",form!$G$15),Лист1!$EH:$EL,5,0)</f>
        <v>#N/A</v>
      </c>
      <c r="AS21" s="293" t="e">
        <f t="shared" si="8"/>
        <v>#N/A</v>
      </c>
      <c r="AU21" s="616">
        <f t="shared" si="7"/>
        <v>0</v>
      </c>
      <c r="AV21" s="294">
        <f t="shared" si="9"/>
        <v>0</v>
      </c>
      <c r="AX21" s="294"/>
    </row>
    <row r="22" spans="2:50" s="273" customFormat="1" ht="24.9" customHeight="1" x14ac:dyDescent="0.2">
      <c r="B22" s="376">
        <v>5</v>
      </c>
      <c r="C22" s="565" t="str">
        <f t="shared" si="10"/>
        <v/>
      </c>
      <c r="D22" s="567" t="str">
        <f t="shared" si="11"/>
        <v/>
      </c>
      <c r="E22" s="461" t="str">
        <f>IF(OR(J22=0,J22=""),"",VLOOKUP(R22,Лист1!$M:$O,3,0))</f>
        <v/>
      </c>
      <c r="F22" s="280" t="str">
        <f t="shared" si="12"/>
        <v/>
      </c>
      <c r="G22" s="586" t="str">
        <f t="shared" si="13"/>
        <v/>
      </c>
      <c r="H22" s="281" t="str">
        <f t="shared" si="14"/>
        <v/>
      </c>
      <c r="J22" s="282" t="str">
        <f>form!$DE$15</f>
        <v/>
      </c>
      <c r="L22" s="295" t="str">
        <f>IF(G22="","",CONCATENATE(R22,".",T22,".",S22,".",U22,".",X22,".",Y22))</f>
        <v/>
      </c>
      <c r="M22" s="295" t="str">
        <f>IF(G22="","",CONCATENATE(AA22,", ",AB22,", ",AC22,", ",AD22,", ",AG22,", ",AH22))</f>
        <v/>
      </c>
      <c r="N22" s="295" t="str">
        <f t="shared" si="5"/>
        <v/>
      </c>
      <c r="O22" s="295" t="str">
        <f t="shared" si="6"/>
        <v/>
      </c>
      <c r="Q22" s="296" t="s">
        <v>254</v>
      </c>
      <c r="R22" s="285" t="e">
        <f>VLOOKUP(CONCATENATE(form!$CV$15,".",form!$CW$15),Лист1!$L:$N,2,0)</f>
        <v>#N/A</v>
      </c>
      <c r="S22" s="286" t="e">
        <f>VLOOKUP(CONCATENATE(form!$CV$15,".",form!$CW$15),Лист1!$Q:$S,2,0)</f>
        <v>#N/A</v>
      </c>
      <c r="T22" s="286" t="e">
        <f>VLOOKUP(CONCATENATE(form!$CV$15,".",form!$CX$15,".",form!$CY$15,".",form!$CZ$15),Лист1!$U:$W,2,0)</f>
        <v>#N/A</v>
      </c>
      <c r="U22" s="287" t="e">
        <f>VLOOKUP(form!$DB$15,Лист1!$Y:$AA,2,0)</f>
        <v>#N/A</v>
      </c>
      <c r="V22" s="297"/>
      <c r="W22" s="297"/>
      <c r="X22" s="287" t="e">
        <f>VLOOKUP(form!$DC$15,Лист1!$AK$63:$AM$77,2,0)</f>
        <v>#N/A</v>
      </c>
      <c r="Y22" s="287" t="e">
        <f>VLOOKUP(form!$DD$15,Лист1!$AO$43:$AQ$60,2,0)</f>
        <v>#N/A</v>
      </c>
      <c r="AA22" s="295" t="e">
        <f>VLOOKUP(CONCATENATE(form!$CV$15,".",form!$CW$15),Лист1!$L:$N,3,0)</f>
        <v>#N/A</v>
      </c>
      <c r="AB22" s="295" t="e">
        <f>VLOOKUP(CONCATENATE(form!$CV$15,".",form!$CW$15),Лист1!$Q:$S,3,0)</f>
        <v>#N/A</v>
      </c>
      <c r="AC22" s="295" t="e">
        <f>VLOOKUP(CONCATENATE(form!$CV$15,".",form!$CX$15,".",form!$CY$15,".",form!$CZ$15),Лист1!$U:$W,3,0)</f>
        <v>#N/A</v>
      </c>
      <c r="AD22" s="295" t="e">
        <f>VLOOKUP(form!$DB$15,Лист1!$Y:$AA,3,0)</f>
        <v>#N/A</v>
      </c>
      <c r="AE22" s="298"/>
      <c r="AF22" s="298"/>
      <c r="AG22" s="299" t="e">
        <f>VLOOKUP(form!$DC$15,Лист1!$AK$63:$AM$77,3,0)</f>
        <v>#N/A</v>
      </c>
      <c r="AH22" s="295" t="e">
        <f>VLOOKUP(form!$DD$15,Лист1!$AO$43:$AQ$60,3,0)</f>
        <v>#N/A</v>
      </c>
      <c r="AJ22" s="300" t="e">
        <f>VLOOKUP(CONCATENATE(form!$CV$15,".",form!$CW$15,".",form!$DA$15),Лист1!$DD:$DH,5,0)</f>
        <v>#N/A</v>
      </c>
      <c r="AK22" s="301"/>
      <c r="AL22" s="301"/>
      <c r="AM22" s="301"/>
      <c r="AN22" s="290" t="e">
        <f>VLOOKUP(CONCATENATE(form!$CV$15,".",form!$DC$15),Лист1!$DV:$DZ,5,0)</f>
        <v>#N/A</v>
      </c>
      <c r="AO22" s="301"/>
      <c r="AP22" s="300" t="e">
        <f>VLOOKUP(CONCATENATE(form!$CV$15,".",form!$CW$15,".",form!$DA$15,".",form!$CY$15),Лист1!$EH:$EL,5,0)</f>
        <v>#N/A</v>
      </c>
      <c r="AQ22" s="302"/>
      <c r="AR22" s="302"/>
      <c r="AS22" s="293" t="e">
        <f t="shared" si="8"/>
        <v>#N/A</v>
      </c>
      <c r="AU22" s="616">
        <f t="shared" si="7"/>
        <v>0</v>
      </c>
      <c r="AV22" s="294">
        <f t="shared" si="9"/>
        <v>0</v>
      </c>
      <c r="AX22" s="294"/>
    </row>
    <row r="23" spans="2:50" s="273" customFormat="1" ht="24.9" customHeight="1" x14ac:dyDescent="0.2">
      <c r="B23" s="377"/>
      <c r="C23" s="566" t="str">
        <f t="shared" si="10"/>
        <v/>
      </c>
      <c r="D23" s="568" t="str">
        <f t="shared" si="11"/>
        <v/>
      </c>
      <c r="E23" s="462" t="str">
        <f>IF(OR(J23=0,J23=""),"",VLOOKUP(R23,Лист1!$M:$O,3,0))</f>
        <v/>
      </c>
      <c r="F23" s="303" t="str">
        <f t="shared" si="12"/>
        <v/>
      </c>
      <c r="G23" s="587" t="str">
        <f t="shared" si="13"/>
        <v/>
      </c>
      <c r="H23" s="304" t="str">
        <f t="shared" si="14"/>
        <v/>
      </c>
      <c r="J23" s="282" t="str">
        <f>form!$DL$15</f>
        <v/>
      </c>
      <c r="L23" s="305" t="str">
        <f>IF(G23="","",CONCATENATE(R23,".",T23,".",S23,".",U23))</f>
        <v/>
      </c>
      <c r="M23" s="305" t="str">
        <f>IF(G23="","",CONCATENATE(AA23,", ",AC23,", ",AD23))</f>
        <v/>
      </c>
      <c r="N23" s="305" t="str">
        <f t="shared" si="5"/>
        <v/>
      </c>
      <c r="O23" s="305" t="str">
        <f t="shared" si="6"/>
        <v/>
      </c>
      <c r="Q23" s="306" t="s">
        <v>255</v>
      </c>
      <c r="R23" s="307" t="e">
        <f>VLOOKUP(form!$DG$15,Лист1!$L:$N,2,0)</f>
        <v>#N/A</v>
      </c>
      <c r="S23" s="308" t="e">
        <f>VLOOKUP(form!$DG$15,Лист1!$Q:$S,2,0)</f>
        <v>#N/A</v>
      </c>
      <c r="T23" s="308" t="e">
        <f>VLOOKUP(CONCATENATE(form!$DG$15,".",form!$DI$15),Лист1!$U:$W,2,0)</f>
        <v>#N/A</v>
      </c>
      <c r="U23" s="309" t="e">
        <f>VLOOKUP(form!$DK$15,Лист1!$Y:$AA,2,0)</f>
        <v>#N/A</v>
      </c>
      <c r="V23" s="310"/>
      <c r="W23" s="310"/>
      <c r="X23" s="310"/>
      <c r="Y23" s="310"/>
      <c r="AA23" s="305" t="e">
        <f>VLOOKUP(form!$DG$15,Лист1!$L:$N,3,0)</f>
        <v>#N/A</v>
      </c>
      <c r="AB23" s="310"/>
      <c r="AC23" s="305" t="e">
        <f>VLOOKUP(CONCATENATE(form!$DG$15,".",form!$DI$15),Лист1!$U:$W,3,0)</f>
        <v>#N/A</v>
      </c>
      <c r="AD23" s="305" t="e">
        <f>VLOOKUP(form!$DK$15,Лист1!$Y:$AA,3,0)</f>
        <v>#N/A</v>
      </c>
      <c r="AE23" s="310"/>
      <c r="AF23" s="310"/>
      <c r="AG23" s="310"/>
      <c r="AH23" s="310"/>
      <c r="AJ23" s="311" t="e">
        <f>VLOOKUP(CONCATENATE(form!$DG$15,".",form!$DJ$15),Лист1!$DD:$DH,5,0)</f>
        <v>#N/A</v>
      </c>
      <c r="AK23" s="310"/>
      <c r="AL23" s="310"/>
      <c r="AM23" s="310"/>
      <c r="AN23" s="310"/>
      <c r="AO23" s="310"/>
      <c r="AP23" s="311" t="e">
        <f>VLOOKUP(CONCATENATE(form!$DG$15,".",form!$DJ$15,".",form!$DH$15),Лист1!$EH:$EL,5,0)</f>
        <v>#N/A</v>
      </c>
      <c r="AQ23" s="312"/>
      <c r="AR23" s="312"/>
      <c r="AS23" s="313" t="e">
        <f t="shared" si="8"/>
        <v>#N/A</v>
      </c>
      <c r="AU23" s="617">
        <f t="shared" si="7"/>
        <v>0</v>
      </c>
      <c r="AV23" s="314">
        <f t="shared" si="9"/>
        <v>0</v>
      </c>
      <c r="AX23" s="294"/>
    </row>
    <row r="24" spans="2:50" s="273" customFormat="1" ht="24.9" customHeight="1" x14ac:dyDescent="0.2">
      <c r="B24" s="378"/>
      <c r="C24" s="565" t="str">
        <f t="shared" si="10"/>
        <v/>
      </c>
      <c r="D24" s="567" t="str">
        <f t="shared" si="11"/>
        <v/>
      </c>
      <c r="E24" s="461" t="str">
        <f>IF(OR(J24=0,J24=""),"",VLOOKUP(R24,Лист1!$M:$O,3,0))</f>
        <v/>
      </c>
      <c r="F24" s="280" t="str">
        <f t="shared" si="12"/>
        <v/>
      </c>
      <c r="G24" s="586" t="str">
        <f t="shared" si="13"/>
        <v/>
      </c>
      <c r="H24" s="281" t="str">
        <f t="shared" si="14"/>
        <v/>
      </c>
      <c r="J24" s="282">
        <f>form!$R$16</f>
        <v>0</v>
      </c>
      <c r="L24" s="283" t="str">
        <f>IF(G24="","",CONCATENATE(R24,".",S24,".",T24,".",U24,".",V24,".",W24,".",X24,".",Y24))</f>
        <v/>
      </c>
      <c r="M24" s="283" t="str">
        <f>IF(G24="","",CONCATENATE(AA24,", ",AB24,", ",AC24,", ",AD24,", ",AE24,", ",AF24,", ",AG24,", ",AH24))</f>
        <v/>
      </c>
      <c r="N24" s="283" t="str">
        <f t="shared" si="5"/>
        <v/>
      </c>
      <c r="O24" s="283" t="str">
        <f t="shared" si="6"/>
        <v/>
      </c>
      <c r="Q24" s="284" t="s">
        <v>253</v>
      </c>
      <c r="R24" s="285" t="e">
        <f>VLOOKUP(CONCATENATE(form!$C$16,".",form!$D$16),Лист1!$L:$N,2,0)</f>
        <v>#N/A</v>
      </c>
      <c r="S24" s="286" t="e">
        <f>VLOOKUP(CONCATENATE(form!$C$16,".",form!$D$16),Лист1!$Q:$S,2,0)</f>
        <v>#N/A</v>
      </c>
      <c r="T24" s="286" t="e">
        <f>VLOOKUP(CONCATENATE(form!$E$16,".",form!$F$16,".",form!$G$16),Лист1!$U:$W,2,0)</f>
        <v>#N/A</v>
      </c>
      <c r="U24" s="287" t="e">
        <f>VLOOKUP(form!$I$16,Лист1!$Y:$AA,2,0)</f>
        <v>#N/A</v>
      </c>
      <c r="V24" s="287" t="e">
        <f>VLOOKUP(form!$J$16,Лист1!$AC:$AE,2,0)</f>
        <v>#N/A</v>
      </c>
      <c r="W24" s="287" t="e">
        <f>VLOOKUP(form!$K$16,Лист1!$AG:$AI,2,0)</f>
        <v>#N/A</v>
      </c>
      <c r="X24" s="287" t="e">
        <f>VLOOKUP(CONCATENATE(form!$L$16,".",form!$M$16),Лист1!$AK$14:$AM$59,2,0)</f>
        <v>#N/A</v>
      </c>
      <c r="Y24" s="287" t="e">
        <f>VLOOKUP(CONCATENATE(form!$L$16,".",form!$N$16),Лист1!$AO$13:$AQ$40,2,0)</f>
        <v>#N/A</v>
      </c>
      <c r="AA24" s="288" t="e">
        <f>VLOOKUP(CONCATENATE(form!$C$16,".",form!$D$16),Лист1!$L:$N,3,0)</f>
        <v>#N/A</v>
      </c>
      <c r="AB24" s="288" t="e">
        <f>VLOOKUP(CONCATENATE(form!$C$16,".",form!$D$16),Лист1!$Q:$S,3,0)</f>
        <v>#N/A</v>
      </c>
      <c r="AC24" s="288" t="e">
        <f>VLOOKUP(CONCATENATE(form!$E$16,".",form!$F$16,".",form!$G$16),Лист1!$U:$W,3,0)</f>
        <v>#N/A</v>
      </c>
      <c r="AD24" s="288" t="e">
        <f>VLOOKUP(form!$I$16,Лист1!$Y:$AA,3,0)</f>
        <v>#N/A</v>
      </c>
      <c r="AE24" s="288" t="e">
        <f>VLOOKUP(form!$J$16,Лист1!$AC:$AE,3,0)</f>
        <v>#N/A</v>
      </c>
      <c r="AF24" s="289" t="e">
        <f>VLOOKUP(form!$K$16,Лист1!$AG:$AI,3,0)</f>
        <v>#N/A</v>
      </c>
      <c r="AG24" s="288" t="e">
        <f>VLOOKUP(CONCATENATE(form!$L$16,".",form!$M$16),Лист1!$AK$14:$AM$59,3,0)</f>
        <v>#N/A</v>
      </c>
      <c r="AH24" s="288" t="e">
        <f>VLOOKUP(CONCATENATE(form!$L$16,".",form!$N$16),Лист1!$AO$13:$AQ$40,3,0)</f>
        <v>#N/A</v>
      </c>
      <c r="AJ24" s="290" t="e">
        <f>VLOOKUP(CONCATENATE(form!$C$16,".",form!$D$16,".",form!$H$16),Лист1!$DD:$DH,5,0)</f>
        <v>#N/A</v>
      </c>
      <c r="AK24" s="290" t="e">
        <f>VLOOKUP(CONCATENATE(form!$C$16,".",form!$J$16),Лист1!$DJ:$DN,5,0)</f>
        <v>#N/A</v>
      </c>
      <c r="AL24" s="290" t="e">
        <f>VLOOKUP(CONCATENATE(form!$C$16,".",form!$D$16,".",form!$K$16),Лист1!$DP:$DT,5,0)</f>
        <v>#N/A</v>
      </c>
      <c r="AM24" s="291"/>
      <c r="AN24" s="290" t="e">
        <f>VLOOKUP(CONCATENATE(form!$C$16,".",form!$L$16),Лист1!$DV:$DZ,5,0)</f>
        <v>#N/A</v>
      </c>
      <c r="AO24" s="290" t="e">
        <f>VLOOKUP(CONCATENATE(form!$C$16,".",form!$M$16),Лист1!$EB:$EF,5,0)</f>
        <v>#N/A</v>
      </c>
      <c r="AP24" s="612"/>
      <c r="AQ24" s="292" t="str">
        <f>IF(ISNA(AR24),"0",AR24)</f>
        <v>0</v>
      </c>
      <c r="AR24" s="623" t="e">
        <f>VLOOKUP(CONCATENATE(form!$C$16,".",form!$G$16),Лист1!$EH:$EL,5,0)</f>
        <v>#N/A</v>
      </c>
      <c r="AS24" s="293" t="e">
        <f t="shared" si="8"/>
        <v>#N/A</v>
      </c>
      <c r="AU24" s="616">
        <f t="shared" si="7"/>
        <v>0</v>
      </c>
      <c r="AV24" s="294">
        <f t="shared" si="9"/>
        <v>0</v>
      </c>
      <c r="AX24" s="294"/>
    </row>
    <row r="25" spans="2:50" s="273" customFormat="1" ht="24.9" customHeight="1" x14ac:dyDescent="0.2">
      <c r="B25" s="376">
        <v>6</v>
      </c>
      <c r="C25" s="565" t="str">
        <f t="shared" si="10"/>
        <v/>
      </c>
      <c r="D25" s="567" t="str">
        <f t="shared" si="11"/>
        <v/>
      </c>
      <c r="E25" s="461" t="str">
        <f>IF(OR(J25=0,J25=""),"",VLOOKUP(R25,Лист1!$M:$O,3,0))</f>
        <v/>
      </c>
      <c r="F25" s="280" t="str">
        <f t="shared" si="12"/>
        <v/>
      </c>
      <c r="G25" s="586" t="str">
        <f t="shared" si="13"/>
        <v/>
      </c>
      <c r="H25" s="281" t="str">
        <f t="shared" si="14"/>
        <v/>
      </c>
      <c r="J25" s="282" t="str">
        <f>form!$DE$16</f>
        <v/>
      </c>
      <c r="L25" s="295" t="str">
        <f>IF(G25="","",CONCATENATE(R25,".",T25,".",S25,".",U25,".",X25,".",Y25))</f>
        <v/>
      </c>
      <c r="M25" s="295" t="str">
        <f>IF(G25="","",CONCATENATE(AA25,", ",AB25,", ",AC25,", ",AD25,", ",AG25,", ",AH25))</f>
        <v/>
      </c>
      <c r="N25" s="295" t="str">
        <f t="shared" si="5"/>
        <v/>
      </c>
      <c r="O25" s="295" t="str">
        <f t="shared" si="6"/>
        <v/>
      </c>
      <c r="Q25" s="296" t="s">
        <v>254</v>
      </c>
      <c r="R25" s="285" t="e">
        <f>VLOOKUP(CONCATENATE(form!$CV$16,".",form!$CW$16),Лист1!$L:$N,2,0)</f>
        <v>#N/A</v>
      </c>
      <c r="S25" s="286" t="e">
        <f>VLOOKUP(CONCATENATE(form!$CV$16,".",form!$CW$16),Лист1!$Q:$S,2,0)</f>
        <v>#N/A</v>
      </c>
      <c r="T25" s="286" t="e">
        <f>VLOOKUP(CONCATENATE(form!$CV$16,".",form!$CX$16,".",form!$CY$16,".",form!$CZ$16),Лист1!$U:$W,2,0)</f>
        <v>#N/A</v>
      </c>
      <c r="U25" s="287" t="e">
        <f>VLOOKUP(form!$DB$16,Лист1!$Y:$AA,2,0)</f>
        <v>#N/A</v>
      </c>
      <c r="V25" s="297"/>
      <c r="W25" s="297"/>
      <c r="X25" s="287" t="e">
        <f>VLOOKUP(form!$DC$16,Лист1!$AK$63:$AM$77,2,0)</f>
        <v>#N/A</v>
      </c>
      <c r="Y25" s="287" t="e">
        <f>VLOOKUP(form!$DD$16,Лист1!$AO$43:$AQ$60,2,0)</f>
        <v>#N/A</v>
      </c>
      <c r="AA25" s="295" t="e">
        <f>VLOOKUP(CONCATENATE(form!$CV$16,".",form!$CW$16),Лист1!$L:$N,3,0)</f>
        <v>#N/A</v>
      </c>
      <c r="AB25" s="295" t="e">
        <f>VLOOKUP(CONCATENATE(form!$CV$16,".",form!$CW$16),Лист1!$Q:$S,3,0)</f>
        <v>#N/A</v>
      </c>
      <c r="AC25" s="295" t="e">
        <f>VLOOKUP(CONCATENATE(form!$CV$16,".",form!$CX$16,".",form!$CY$16,".",form!$CZ$16),Лист1!$U:$W,3,0)</f>
        <v>#N/A</v>
      </c>
      <c r="AD25" s="295" t="e">
        <f>VLOOKUP(form!$DB$16,Лист1!$Y:$AA,3,0)</f>
        <v>#N/A</v>
      </c>
      <c r="AE25" s="298"/>
      <c r="AF25" s="298"/>
      <c r="AG25" s="299" t="e">
        <f>VLOOKUP(form!$DC$16,Лист1!$AK$63:$AM$77,3,0)</f>
        <v>#N/A</v>
      </c>
      <c r="AH25" s="295" t="e">
        <f>VLOOKUP(form!$DD$16,Лист1!$AO$43:$AQ$60,3,0)</f>
        <v>#N/A</v>
      </c>
      <c r="AJ25" s="300" t="e">
        <f>VLOOKUP(CONCATENATE(form!$CV$16,".",form!$CW$16,".",form!$DA$16),Лист1!$DD:$DH,5,0)</f>
        <v>#N/A</v>
      </c>
      <c r="AK25" s="301"/>
      <c r="AL25" s="301"/>
      <c r="AM25" s="301"/>
      <c r="AN25" s="290" t="e">
        <f>VLOOKUP(CONCATENATE(form!$CV$16,".",form!$DC$16),Лист1!$DV:$DZ,5,0)</f>
        <v>#N/A</v>
      </c>
      <c r="AO25" s="301"/>
      <c r="AP25" s="300" t="e">
        <f>VLOOKUP(CONCATENATE(form!$CV$16,".",form!$CW$16,".",form!$DA$16,".",form!$CY$16),Лист1!$EH:$EL,5,0)</f>
        <v>#N/A</v>
      </c>
      <c r="AQ25" s="302"/>
      <c r="AR25" s="302"/>
      <c r="AS25" s="293" t="e">
        <f t="shared" si="8"/>
        <v>#N/A</v>
      </c>
      <c r="AU25" s="616">
        <f t="shared" si="7"/>
        <v>0</v>
      </c>
      <c r="AV25" s="294">
        <f t="shared" si="9"/>
        <v>0</v>
      </c>
      <c r="AX25" s="294"/>
    </row>
    <row r="26" spans="2:50" s="273" customFormat="1" ht="24.9" customHeight="1" x14ac:dyDescent="0.2">
      <c r="B26" s="377"/>
      <c r="C26" s="566" t="str">
        <f t="shared" si="10"/>
        <v/>
      </c>
      <c r="D26" s="568" t="str">
        <f t="shared" si="11"/>
        <v/>
      </c>
      <c r="E26" s="462" t="str">
        <f>IF(OR(J26=0,J26=""),"",VLOOKUP(R26,Лист1!$M:$O,3,0))</f>
        <v/>
      </c>
      <c r="F26" s="303" t="str">
        <f t="shared" si="12"/>
        <v/>
      </c>
      <c r="G26" s="587" t="str">
        <f t="shared" si="13"/>
        <v/>
      </c>
      <c r="H26" s="304" t="str">
        <f t="shared" si="14"/>
        <v/>
      </c>
      <c r="J26" s="282" t="str">
        <f>form!$DL$16</f>
        <v/>
      </c>
      <c r="L26" s="305" t="str">
        <f>IF(G26="","",CONCATENATE(R26,".",T26,".",S26,".",U26))</f>
        <v/>
      </c>
      <c r="M26" s="305" t="str">
        <f>IF(G26="","",CONCATENATE(AA26,", ",AC26,", ",AD26))</f>
        <v/>
      </c>
      <c r="N26" s="305" t="str">
        <f t="shared" si="5"/>
        <v/>
      </c>
      <c r="O26" s="305" t="str">
        <f t="shared" si="6"/>
        <v/>
      </c>
      <c r="Q26" s="306" t="s">
        <v>255</v>
      </c>
      <c r="R26" s="307" t="e">
        <f>VLOOKUP(form!$DG$16,Лист1!$L:$N,2,0)</f>
        <v>#N/A</v>
      </c>
      <c r="S26" s="308" t="e">
        <f>VLOOKUP(form!$DG$16,Лист1!$Q:$S,2,0)</f>
        <v>#N/A</v>
      </c>
      <c r="T26" s="308" t="e">
        <f>VLOOKUP(CONCATENATE(form!$DG$16,".",form!$DI$16),Лист1!$U:$W,2,0)</f>
        <v>#N/A</v>
      </c>
      <c r="U26" s="309" t="e">
        <f>VLOOKUP(form!$DK$16,Лист1!$Y:$AA,2,0)</f>
        <v>#N/A</v>
      </c>
      <c r="V26" s="310"/>
      <c r="W26" s="310"/>
      <c r="X26" s="310"/>
      <c r="Y26" s="310"/>
      <c r="AA26" s="305" t="e">
        <f>VLOOKUP(form!$DG$16,Лист1!$L:$N,3,0)</f>
        <v>#N/A</v>
      </c>
      <c r="AB26" s="310"/>
      <c r="AC26" s="305" t="e">
        <f>VLOOKUP(CONCATENATE(form!$DG$16,".",form!$DI$16),Лист1!$U:$W,3,0)</f>
        <v>#N/A</v>
      </c>
      <c r="AD26" s="305" t="e">
        <f>VLOOKUP(form!$DK$16,Лист1!$Y:$AA,3,0)</f>
        <v>#N/A</v>
      </c>
      <c r="AE26" s="310"/>
      <c r="AF26" s="310"/>
      <c r="AG26" s="310"/>
      <c r="AH26" s="310"/>
      <c r="AJ26" s="311" t="e">
        <f>VLOOKUP(CONCATENATE(form!$DG$16,".",form!$DJ$16),Лист1!$DD:$DH,5,0)</f>
        <v>#N/A</v>
      </c>
      <c r="AK26" s="310"/>
      <c r="AL26" s="310"/>
      <c r="AM26" s="310"/>
      <c r="AN26" s="310"/>
      <c r="AO26" s="310"/>
      <c r="AP26" s="311" t="e">
        <f>VLOOKUP(CONCATENATE(form!$DG$16,".",form!$DJ$16,".",form!$DH$16),Лист1!$EH:$EL,5,0)</f>
        <v>#N/A</v>
      </c>
      <c r="AQ26" s="312"/>
      <c r="AR26" s="312"/>
      <c r="AS26" s="313" t="e">
        <f t="shared" si="8"/>
        <v>#N/A</v>
      </c>
      <c r="AU26" s="617">
        <f t="shared" si="7"/>
        <v>0</v>
      </c>
      <c r="AV26" s="314">
        <f t="shared" si="9"/>
        <v>0</v>
      </c>
      <c r="AX26" s="294"/>
    </row>
    <row r="27" spans="2:50" s="273" customFormat="1" ht="24.9" customHeight="1" x14ac:dyDescent="0.2">
      <c r="B27" s="378"/>
      <c r="C27" s="565" t="str">
        <f t="shared" si="10"/>
        <v/>
      </c>
      <c r="D27" s="567" t="str">
        <f t="shared" si="11"/>
        <v/>
      </c>
      <c r="E27" s="461" t="str">
        <f>IF(OR(J27=0,J27=""),"",VLOOKUP(R27,Лист1!$M:$O,3,0))</f>
        <v/>
      </c>
      <c r="F27" s="280" t="str">
        <f t="shared" si="12"/>
        <v/>
      </c>
      <c r="G27" s="586" t="str">
        <f t="shared" si="13"/>
        <v/>
      </c>
      <c r="H27" s="281" t="str">
        <f t="shared" si="14"/>
        <v/>
      </c>
      <c r="J27" s="282">
        <f>form!$R$17</f>
        <v>0</v>
      </c>
      <c r="L27" s="283" t="str">
        <f>IF(G27="","",CONCATENATE(R27,".",S27,".",T27,".",U27,".",V27,".",W27,".",X27,".",Y27))</f>
        <v/>
      </c>
      <c r="M27" s="283" t="str">
        <f>IF(G27="","",CONCATENATE(AA27,", ",AB27,", ",AC27,", ",AD27,", ",AE27,", ",AF27,", ",AG27,", ",AH27))</f>
        <v/>
      </c>
      <c r="N27" s="283" t="str">
        <f t="shared" si="5"/>
        <v/>
      </c>
      <c r="O27" s="283" t="str">
        <f t="shared" si="6"/>
        <v/>
      </c>
      <c r="Q27" s="284" t="s">
        <v>253</v>
      </c>
      <c r="R27" s="285" t="e">
        <f>VLOOKUP(CONCATENATE(form!$C$17,".",form!$D$17),Лист1!$L:$N,2,0)</f>
        <v>#N/A</v>
      </c>
      <c r="S27" s="286" t="e">
        <f>VLOOKUP(CONCATENATE(form!$C$17,".",form!$D$17),Лист1!$Q:$S,2,0)</f>
        <v>#N/A</v>
      </c>
      <c r="T27" s="286" t="e">
        <f>VLOOKUP(CONCATENATE(form!$E$17,".",form!$F$17,".",form!$G$17),Лист1!$U:$W,2,0)</f>
        <v>#N/A</v>
      </c>
      <c r="U27" s="287" t="e">
        <f>VLOOKUP(form!$I$17,Лист1!$Y:$AA,2,0)</f>
        <v>#N/A</v>
      </c>
      <c r="V27" s="287" t="e">
        <f>VLOOKUP(form!$J$17,Лист1!$AC:$AE,2,0)</f>
        <v>#N/A</v>
      </c>
      <c r="W27" s="287" t="e">
        <f>VLOOKUP(form!$K$17,Лист1!$AG:$AI,2,0)</f>
        <v>#N/A</v>
      </c>
      <c r="X27" s="287" t="e">
        <f>VLOOKUP(CONCATENATE(form!$L$17,".",form!$M$17),Лист1!$AK$14:$AM$59,2,0)</f>
        <v>#N/A</v>
      </c>
      <c r="Y27" s="287" t="e">
        <f>VLOOKUP(CONCATENATE(form!$L$17,".",form!$N$17),Лист1!$AO$13:$AQ$40,2,0)</f>
        <v>#N/A</v>
      </c>
      <c r="AA27" s="288" t="e">
        <f>VLOOKUP(CONCATENATE(form!$C$17,".",form!$D$17),Лист1!$L:$N,3,0)</f>
        <v>#N/A</v>
      </c>
      <c r="AB27" s="288" t="e">
        <f>VLOOKUP(CONCATENATE(form!$C$17,".",form!$D$17),Лист1!$Q:$S,3,0)</f>
        <v>#N/A</v>
      </c>
      <c r="AC27" s="288" t="e">
        <f>VLOOKUP(CONCATENATE(form!$E$17,".",form!$F$17,".",form!$G$17),Лист1!$U:$W,3,0)</f>
        <v>#N/A</v>
      </c>
      <c r="AD27" s="288" t="e">
        <f>VLOOKUP(form!$I$17,Лист1!$Y:$AA,3,0)</f>
        <v>#N/A</v>
      </c>
      <c r="AE27" s="288" t="e">
        <f>VLOOKUP(form!$J$17,Лист1!$AC:$AE,3,0)</f>
        <v>#N/A</v>
      </c>
      <c r="AF27" s="289" t="e">
        <f>VLOOKUP(form!$K$17,Лист1!$AG:$AI,3,0)</f>
        <v>#N/A</v>
      </c>
      <c r="AG27" s="288" t="e">
        <f>VLOOKUP(CONCATENATE(form!$L$17,".",form!$M$17),Лист1!$AK$14:$AM$59,3,0)</f>
        <v>#N/A</v>
      </c>
      <c r="AH27" s="288" t="e">
        <f>VLOOKUP(CONCATENATE(form!$L$17,".",form!$N$17),Лист1!$AO$13:$AQ$40,3,0)</f>
        <v>#N/A</v>
      </c>
      <c r="AJ27" s="290" t="e">
        <f>VLOOKUP(CONCATENATE(form!$C$17,".",form!$D$17,".",form!$H$17),Лист1!$DD:$DH,5,0)</f>
        <v>#N/A</v>
      </c>
      <c r="AK27" s="290" t="e">
        <f>VLOOKUP(CONCATENATE(form!$C$17,".",form!$J$17),Лист1!$DJ:$DN,5,0)</f>
        <v>#N/A</v>
      </c>
      <c r="AL27" s="290" t="e">
        <f>VLOOKUP(CONCATENATE(form!$C$17,".",form!$D$17,".",form!$K$17),Лист1!$DP:$DT,5,0)</f>
        <v>#N/A</v>
      </c>
      <c r="AM27" s="291"/>
      <c r="AN27" s="290" t="e">
        <f>VLOOKUP(CONCATENATE(form!$C$17,".",form!$L$17),Лист1!$DV:$DZ,5,0)</f>
        <v>#N/A</v>
      </c>
      <c r="AO27" s="290" t="e">
        <f>VLOOKUP(CONCATENATE(form!$C$17,".",form!$M$17),Лист1!$EB:$EF,5,0)</f>
        <v>#N/A</v>
      </c>
      <c r="AP27" s="612"/>
      <c r="AQ27" s="292" t="str">
        <f>IF(ISNA(AR27),"0",AR27)</f>
        <v>0</v>
      </c>
      <c r="AR27" s="623" t="e">
        <f>VLOOKUP(CONCATENATE(form!$C$17,".",form!$G$17),Лист1!$EH:$EL,5,0)</f>
        <v>#N/A</v>
      </c>
      <c r="AS27" s="293" t="e">
        <f t="shared" si="8"/>
        <v>#N/A</v>
      </c>
      <c r="AU27" s="616">
        <f t="shared" si="7"/>
        <v>0</v>
      </c>
      <c r="AV27" s="294">
        <f t="shared" si="9"/>
        <v>0</v>
      </c>
      <c r="AX27" s="294"/>
    </row>
    <row r="28" spans="2:50" s="273" customFormat="1" ht="24.9" customHeight="1" x14ac:dyDescent="0.2">
      <c r="B28" s="376">
        <v>7</v>
      </c>
      <c r="C28" s="565" t="str">
        <f t="shared" si="10"/>
        <v/>
      </c>
      <c r="D28" s="567" t="str">
        <f t="shared" si="11"/>
        <v/>
      </c>
      <c r="E28" s="461" t="str">
        <f>IF(OR(J28=0,J28=""),"",VLOOKUP(R28,Лист1!$M:$O,3,0))</f>
        <v/>
      </c>
      <c r="F28" s="280" t="str">
        <f t="shared" si="12"/>
        <v/>
      </c>
      <c r="G28" s="586" t="str">
        <f t="shared" si="13"/>
        <v/>
      </c>
      <c r="H28" s="281" t="str">
        <f t="shared" si="14"/>
        <v/>
      </c>
      <c r="J28" s="282" t="str">
        <f>form!$DE$17</f>
        <v/>
      </c>
      <c r="L28" s="295" t="str">
        <f>IF(G28="","",CONCATENATE(R28,".",T28,".",S28,".",U28,".",X28,".",Y28))</f>
        <v/>
      </c>
      <c r="M28" s="295" t="str">
        <f>IF(G28="","",CONCATENATE(AA28,", ",AB28,", ",AC28,", ",AD28,", ",AG28,", ",AH28))</f>
        <v/>
      </c>
      <c r="N28" s="295" t="str">
        <f t="shared" si="5"/>
        <v/>
      </c>
      <c r="O28" s="295" t="str">
        <f t="shared" si="6"/>
        <v/>
      </c>
      <c r="Q28" s="296" t="s">
        <v>254</v>
      </c>
      <c r="R28" s="285" t="e">
        <f>VLOOKUP(CONCATENATE(form!$CV$17,".",form!$CW$17),Лист1!$L:$N,2,0)</f>
        <v>#N/A</v>
      </c>
      <c r="S28" s="286" t="e">
        <f>VLOOKUP(CONCATENATE(form!$CV$17,".",form!$CW$17),Лист1!$Q:$S,2,0)</f>
        <v>#N/A</v>
      </c>
      <c r="T28" s="286" t="e">
        <f>VLOOKUP(CONCATENATE(form!$CV$17,".",form!$CX$17,".",form!$CY$17,".",form!$CZ$17),Лист1!$U:$W,2,0)</f>
        <v>#N/A</v>
      </c>
      <c r="U28" s="287" t="e">
        <f>VLOOKUP(form!$DB$17,Лист1!$Y:$AA,2,0)</f>
        <v>#N/A</v>
      </c>
      <c r="V28" s="297"/>
      <c r="W28" s="297"/>
      <c r="X28" s="287" t="e">
        <f>VLOOKUP(form!$DC$17,Лист1!$AK$63:$AM$77,2,0)</f>
        <v>#N/A</v>
      </c>
      <c r="Y28" s="287" t="e">
        <f>VLOOKUP(form!$DD$17,Лист1!$AO$43:$AQ$60,2,0)</f>
        <v>#N/A</v>
      </c>
      <c r="AA28" s="295" t="e">
        <f>VLOOKUP(CONCATENATE(form!$CV$17,".",form!$CW$17),Лист1!$L:$N,3,0)</f>
        <v>#N/A</v>
      </c>
      <c r="AB28" s="295" t="e">
        <f>VLOOKUP(CONCATENATE(form!$CV$17,".",form!$CW$17),Лист1!$Q:$S,3,0)</f>
        <v>#N/A</v>
      </c>
      <c r="AC28" s="295" t="e">
        <f>VLOOKUP(CONCATENATE(form!$CV$17,".",form!$CX$17,".",form!$CY$17,".",form!$CZ$17),Лист1!$U:$W,3,0)</f>
        <v>#N/A</v>
      </c>
      <c r="AD28" s="295" t="e">
        <f>VLOOKUP(form!$DB$17,Лист1!$Y:$AA,3,0)</f>
        <v>#N/A</v>
      </c>
      <c r="AE28" s="298"/>
      <c r="AF28" s="298"/>
      <c r="AG28" s="299" t="e">
        <f>VLOOKUP(form!$DC$17,Лист1!$AK$63:$AM$77,3,0)</f>
        <v>#N/A</v>
      </c>
      <c r="AH28" s="295" t="e">
        <f>VLOOKUP(form!$DD$17,Лист1!$AO$43:$AQ$60,3,0)</f>
        <v>#N/A</v>
      </c>
      <c r="AJ28" s="300" t="e">
        <f>VLOOKUP(CONCATENATE(form!$CV$17,".",form!$CW$17,".",form!$DA$17),Лист1!$DD:$DH,5,0)</f>
        <v>#N/A</v>
      </c>
      <c r="AK28" s="301"/>
      <c r="AL28" s="301"/>
      <c r="AM28" s="301"/>
      <c r="AN28" s="290" t="e">
        <f>VLOOKUP(CONCATENATE(form!$CV$17,".",form!$DC$17),Лист1!$DV:$DZ,5,0)</f>
        <v>#N/A</v>
      </c>
      <c r="AO28" s="301"/>
      <c r="AP28" s="300" t="e">
        <f>VLOOKUP(CONCATENATE(form!$CV$17,".",form!$CW$17,".",form!$DA$17,".",form!$CY$17),Лист1!$EH:$EL,5,0)</f>
        <v>#N/A</v>
      </c>
      <c r="AQ28" s="302"/>
      <c r="AR28" s="302"/>
      <c r="AS28" s="293" t="e">
        <f t="shared" si="8"/>
        <v>#N/A</v>
      </c>
      <c r="AU28" s="616">
        <f t="shared" si="7"/>
        <v>0</v>
      </c>
      <c r="AV28" s="294">
        <f t="shared" si="9"/>
        <v>0</v>
      </c>
      <c r="AX28" s="294"/>
    </row>
    <row r="29" spans="2:50" s="273" customFormat="1" ht="24.9" customHeight="1" x14ac:dyDescent="0.2">
      <c r="B29" s="377"/>
      <c r="C29" s="566" t="str">
        <f t="shared" si="10"/>
        <v/>
      </c>
      <c r="D29" s="568" t="str">
        <f t="shared" si="11"/>
        <v/>
      </c>
      <c r="E29" s="462" t="str">
        <f>IF(OR(J29=0,J29=""),"",VLOOKUP(R29,Лист1!$M:$O,3,0))</f>
        <v/>
      </c>
      <c r="F29" s="303" t="str">
        <f t="shared" si="12"/>
        <v/>
      </c>
      <c r="G29" s="587" t="str">
        <f t="shared" si="13"/>
        <v/>
      </c>
      <c r="H29" s="304" t="str">
        <f t="shared" si="14"/>
        <v/>
      </c>
      <c r="J29" s="282" t="str">
        <f>form!$DL$17</f>
        <v/>
      </c>
      <c r="L29" s="305" t="str">
        <f>IF(G29="","",CONCATENATE(R29,".",T29,".",S29,".",U29))</f>
        <v/>
      </c>
      <c r="M29" s="305" t="str">
        <f>IF(G29="","",CONCATENATE(AA29,", ",AC29,", ",AD29))</f>
        <v/>
      </c>
      <c r="N29" s="305" t="str">
        <f t="shared" si="5"/>
        <v/>
      </c>
      <c r="O29" s="305" t="str">
        <f t="shared" si="6"/>
        <v/>
      </c>
      <c r="Q29" s="306" t="s">
        <v>255</v>
      </c>
      <c r="R29" s="307" t="e">
        <f>VLOOKUP(form!$DG$17,Лист1!$L:$N,2,0)</f>
        <v>#N/A</v>
      </c>
      <c r="S29" s="308" t="e">
        <f>VLOOKUP(form!$DG$17,Лист1!$Q:$S,2,0)</f>
        <v>#N/A</v>
      </c>
      <c r="T29" s="308" t="e">
        <f>VLOOKUP(CONCATENATE(form!$DG$17,".",form!$DI$17),Лист1!$U:$W,2,0)</f>
        <v>#N/A</v>
      </c>
      <c r="U29" s="309" t="e">
        <f>VLOOKUP(form!$DK$17,Лист1!$Y:$AA,2,0)</f>
        <v>#N/A</v>
      </c>
      <c r="V29" s="310"/>
      <c r="W29" s="310"/>
      <c r="X29" s="310"/>
      <c r="Y29" s="310"/>
      <c r="AA29" s="305" t="e">
        <f>VLOOKUP(form!$DG$17,Лист1!$L:$N,3,0)</f>
        <v>#N/A</v>
      </c>
      <c r="AB29" s="310"/>
      <c r="AC29" s="305" t="e">
        <f>VLOOKUP(CONCATENATE(form!$DG$17,".",form!$DI$17),Лист1!$U:$W,3,0)</f>
        <v>#N/A</v>
      </c>
      <c r="AD29" s="305" t="e">
        <f>VLOOKUP(form!$DK$17,Лист1!$Y:$AA,3,0)</f>
        <v>#N/A</v>
      </c>
      <c r="AE29" s="310"/>
      <c r="AF29" s="310"/>
      <c r="AG29" s="310"/>
      <c r="AH29" s="310"/>
      <c r="AJ29" s="311" t="e">
        <f>VLOOKUP(CONCATENATE(form!$DG$17,".",form!$DJ$17),Лист1!$DD:$DH,5,0)</f>
        <v>#N/A</v>
      </c>
      <c r="AK29" s="310"/>
      <c r="AL29" s="310"/>
      <c r="AM29" s="310"/>
      <c r="AN29" s="310"/>
      <c r="AO29" s="310"/>
      <c r="AP29" s="311" t="e">
        <f>VLOOKUP(CONCATENATE(form!$DG$17,".",form!$DJ$17,".",form!$DH$17),Лист1!$EH:$EL,5,0)</f>
        <v>#N/A</v>
      </c>
      <c r="AQ29" s="312"/>
      <c r="AR29" s="312"/>
      <c r="AS29" s="313" t="e">
        <f t="shared" si="8"/>
        <v>#N/A</v>
      </c>
      <c r="AU29" s="617">
        <f t="shared" si="7"/>
        <v>0</v>
      </c>
      <c r="AV29" s="314">
        <f t="shared" si="9"/>
        <v>0</v>
      </c>
      <c r="AX29" s="294"/>
    </row>
    <row r="30" spans="2:50" s="273" customFormat="1" ht="24.9" customHeight="1" x14ac:dyDescent="0.2">
      <c r="B30" s="378"/>
      <c r="C30" s="565" t="str">
        <f t="shared" si="10"/>
        <v/>
      </c>
      <c r="D30" s="567" t="str">
        <f t="shared" si="11"/>
        <v/>
      </c>
      <c r="E30" s="461" t="str">
        <f>IF(OR(J30=0,J30=""),"",VLOOKUP(R30,Лист1!$M:$O,3,0))</f>
        <v/>
      </c>
      <c r="F30" s="280" t="str">
        <f t="shared" si="12"/>
        <v/>
      </c>
      <c r="G30" s="586" t="str">
        <f t="shared" si="13"/>
        <v/>
      </c>
      <c r="H30" s="281" t="str">
        <f t="shared" si="14"/>
        <v/>
      </c>
      <c r="J30" s="282">
        <f>form!$R$18</f>
        <v>0</v>
      </c>
      <c r="L30" s="283" t="str">
        <f>IF(G30="","",CONCATENATE(R30,".",S30,".",T30,".",U30,".",V30,".",W30,".",X30,".",Y30))</f>
        <v/>
      </c>
      <c r="M30" s="283" t="str">
        <f>IF(G30="","",CONCATENATE(AA30,", ",AB30,", ",AC30,", ",AD30,", ",AE30,", ",AF30,", ",AG30,", ",AH30))</f>
        <v/>
      </c>
      <c r="N30" s="283" t="str">
        <f t="shared" si="5"/>
        <v/>
      </c>
      <c r="O30" s="283" t="str">
        <f t="shared" si="6"/>
        <v/>
      </c>
      <c r="Q30" s="284" t="s">
        <v>253</v>
      </c>
      <c r="R30" s="285" t="e">
        <f>VLOOKUP(CONCATENATE(form!$C$18,".",form!$D$18),Лист1!$L:$N,2,0)</f>
        <v>#N/A</v>
      </c>
      <c r="S30" s="286" t="e">
        <f>VLOOKUP(CONCATENATE(form!$C$18,".",form!$D$18),Лист1!$Q:$S,2,0)</f>
        <v>#N/A</v>
      </c>
      <c r="T30" s="286" t="e">
        <f>VLOOKUP(CONCATENATE(form!$E$18,".",form!$F$18,".",form!$G$18),Лист1!$U:$W,2,0)</f>
        <v>#N/A</v>
      </c>
      <c r="U30" s="287" t="e">
        <f>VLOOKUP(form!$I$18,Лист1!$Y:$AA,2,0)</f>
        <v>#N/A</v>
      </c>
      <c r="V30" s="287" t="e">
        <f>VLOOKUP(form!$J$18,Лист1!$AC:$AE,2,0)</f>
        <v>#N/A</v>
      </c>
      <c r="W30" s="287" t="e">
        <f>VLOOKUP(form!$K$18,Лист1!$AG:$AI,2,0)</f>
        <v>#N/A</v>
      </c>
      <c r="X30" s="287" t="e">
        <f>VLOOKUP(CONCATENATE(form!$L$18,".",form!$M$18),Лист1!$AK$14:$AM$59,2,0)</f>
        <v>#N/A</v>
      </c>
      <c r="Y30" s="287" t="e">
        <f>VLOOKUP(CONCATENATE(form!$L$18,".",form!$N$18),Лист1!$AO$13:$AQ$40,2,0)</f>
        <v>#N/A</v>
      </c>
      <c r="AA30" s="288" t="e">
        <f>VLOOKUP(CONCATENATE(form!$C$18,".",form!$D$18),Лист1!$L:$N,3,0)</f>
        <v>#N/A</v>
      </c>
      <c r="AB30" s="288" t="e">
        <f>VLOOKUP(CONCATENATE(form!$C$18,".",form!$D$18),Лист1!$Q:$S,3,0)</f>
        <v>#N/A</v>
      </c>
      <c r="AC30" s="288" t="e">
        <f>VLOOKUP(CONCATENATE(form!$E$18,".",form!$F$18,".",form!$G$18),Лист1!$U:$W,3,0)</f>
        <v>#N/A</v>
      </c>
      <c r="AD30" s="288" t="e">
        <f>VLOOKUP(form!$I$18,Лист1!$Y:$AA,3,0)</f>
        <v>#N/A</v>
      </c>
      <c r="AE30" s="288" t="e">
        <f>VLOOKUP(form!$J$18,Лист1!$AC:$AE,3,0)</f>
        <v>#N/A</v>
      </c>
      <c r="AF30" s="289" t="e">
        <f>VLOOKUP(form!$K$18,Лист1!$AG:$AI,3,0)</f>
        <v>#N/A</v>
      </c>
      <c r="AG30" s="288" t="e">
        <f>VLOOKUP(CONCATENATE(form!$L$18,".",form!$M$18),Лист1!$AK$14:$AM$59,3,0)</f>
        <v>#N/A</v>
      </c>
      <c r="AH30" s="288" t="e">
        <f>VLOOKUP(CONCATENATE(form!$L$18,".",form!$N$18),Лист1!$AO$13:$AQ$40,3,0)</f>
        <v>#N/A</v>
      </c>
      <c r="AJ30" s="290" t="e">
        <f>VLOOKUP(CONCATENATE(form!$C$18,".",form!$D$18,".",form!$H$18),Лист1!$DD:$DH,5,0)</f>
        <v>#N/A</v>
      </c>
      <c r="AK30" s="290" t="e">
        <f>VLOOKUP(CONCATENATE(form!$C$18,".",form!$J$18),Лист1!$DJ:$DN,5,0)</f>
        <v>#N/A</v>
      </c>
      <c r="AL30" s="290" t="e">
        <f>VLOOKUP(CONCATENATE(form!$C$18,".",form!$D$18,".",form!$K$18),Лист1!$DP:$DT,5,0)</f>
        <v>#N/A</v>
      </c>
      <c r="AM30" s="291"/>
      <c r="AN30" s="290" t="e">
        <f>VLOOKUP(CONCATENATE(form!$C$18,".",form!$L$18),Лист1!$DV:$DZ,5,0)</f>
        <v>#N/A</v>
      </c>
      <c r="AO30" s="290" t="e">
        <f>VLOOKUP(CONCATENATE(form!$C$18,".",form!$M$18),Лист1!$EB:$EF,5,0)</f>
        <v>#N/A</v>
      </c>
      <c r="AP30" s="612"/>
      <c r="AQ30" s="292" t="str">
        <f>IF(ISNA(AR30),"0",AR30)</f>
        <v>0</v>
      </c>
      <c r="AR30" s="623" t="e">
        <f>VLOOKUP(CONCATENATE(form!$C$18,".",form!$G$18),Лист1!$EH:$EL,5,0)</f>
        <v>#N/A</v>
      </c>
      <c r="AS30" s="293" t="e">
        <f t="shared" si="8"/>
        <v>#N/A</v>
      </c>
      <c r="AU30" s="616">
        <f t="shared" si="7"/>
        <v>0</v>
      </c>
      <c r="AV30" s="294">
        <f t="shared" si="9"/>
        <v>0</v>
      </c>
      <c r="AX30" s="294"/>
    </row>
    <row r="31" spans="2:50" s="273" customFormat="1" ht="24.9" customHeight="1" x14ac:dyDescent="0.2">
      <c r="B31" s="376">
        <v>8</v>
      </c>
      <c r="C31" s="565" t="str">
        <f t="shared" si="10"/>
        <v/>
      </c>
      <c r="D31" s="567" t="str">
        <f t="shared" si="11"/>
        <v/>
      </c>
      <c r="E31" s="461" t="str">
        <f>IF(OR(J31=0,J31=""),"",VLOOKUP(R31,Лист1!$M:$O,3,0))</f>
        <v/>
      </c>
      <c r="F31" s="280" t="str">
        <f t="shared" si="12"/>
        <v/>
      </c>
      <c r="G31" s="586" t="str">
        <f t="shared" si="13"/>
        <v/>
      </c>
      <c r="H31" s="281" t="str">
        <f t="shared" si="14"/>
        <v/>
      </c>
      <c r="J31" s="282" t="str">
        <f>form!$DE$18</f>
        <v/>
      </c>
      <c r="L31" s="295" t="str">
        <f>IF(G31="","",CONCATENATE(R31,".",T31,".",S31,".",U31,".",X31,".",Y31))</f>
        <v/>
      </c>
      <c r="M31" s="295" t="str">
        <f>IF(G31="","",CONCATENATE(AA31,", ",AB31,", ",AC31,", ",AD31,", ",AG31,", ",AH31))</f>
        <v/>
      </c>
      <c r="N31" s="295" t="str">
        <f t="shared" si="5"/>
        <v/>
      </c>
      <c r="O31" s="295" t="str">
        <f t="shared" si="6"/>
        <v/>
      </c>
      <c r="Q31" s="296" t="s">
        <v>254</v>
      </c>
      <c r="R31" s="285" t="e">
        <f>VLOOKUP(CONCATENATE(form!$CV$18,".",form!$CW$18),Лист1!$L:$N,2,0)</f>
        <v>#N/A</v>
      </c>
      <c r="S31" s="286" t="e">
        <f>VLOOKUP(CONCATENATE(form!$CV$18,".",form!$CW$18),Лист1!$Q:$S,2,0)</f>
        <v>#N/A</v>
      </c>
      <c r="T31" s="286" t="e">
        <f>VLOOKUP(CONCATENATE(form!$CV$18,".",form!$CX$18,".",form!$CY$18,".",form!$CZ$18),Лист1!$U:$W,2,0)</f>
        <v>#N/A</v>
      </c>
      <c r="U31" s="287" t="e">
        <f>VLOOKUP(form!$DB$18,Лист1!$Y:$AA,2,0)</f>
        <v>#N/A</v>
      </c>
      <c r="V31" s="297"/>
      <c r="W31" s="297"/>
      <c r="X31" s="287" t="e">
        <f>VLOOKUP(form!$DC$18,Лист1!$AK$63:$AM$77,2,0)</f>
        <v>#N/A</v>
      </c>
      <c r="Y31" s="287" t="e">
        <f>VLOOKUP(form!$DD$18,Лист1!$AO$43:$AQ$60,2,0)</f>
        <v>#N/A</v>
      </c>
      <c r="AA31" s="295" t="e">
        <f>VLOOKUP(CONCATENATE(form!$CV$18,".",form!$CW$18),Лист1!$L:$N,3,0)</f>
        <v>#N/A</v>
      </c>
      <c r="AB31" s="295" t="e">
        <f>VLOOKUP(CONCATENATE(form!$CV$18,".",form!$CW$18),Лист1!$Q:$S,3,0)</f>
        <v>#N/A</v>
      </c>
      <c r="AC31" s="295" t="e">
        <f>VLOOKUP(CONCATENATE(form!$CV$18,".",form!$CX$18,".",form!$CY$18,".",form!$CZ$18),Лист1!$U:$W,3,0)</f>
        <v>#N/A</v>
      </c>
      <c r="AD31" s="295" t="e">
        <f>VLOOKUP(form!$DB$18,Лист1!$Y:$AA,3,0)</f>
        <v>#N/A</v>
      </c>
      <c r="AE31" s="298"/>
      <c r="AF31" s="298"/>
      <c r="AG31" s="299" t="e">
        <f>VLOOKUP(form!$DC$18,Лист1!$AK$63:$AM$77,3,0)</f>
        <v>#N/A</v>
      </c>
      <c r="AH31" s="295" t="e">
        <f>VLOOKUP(form!$DD$18,Лист1!$AO$43:$AQ$60,3,0)</f>
        <v>#N/A</v>
      </c>
      <c r="AJ31" s="300" t="e">
        <f>VLOOKUP(CONCATENATE(form!$CV$18,".",form!$CW$18,".",form!$DA$18),Лист1!$DD:$DH,5,0)</f>
        <v>#N/A</v>
      </c>
      <c r="AK31" s="301"/>
      <c r="AL31" s="301"/>
      <c r="AM31" s="301"/>
      <c r="AN31" s="290" t="e">
        <f>VLOOKUP(CONCATENATE(form!$CV$18,".",form!$DC$18),Лист1!$DV:$DZ,5,0)</f>
        <v>#N/A</v>
      </c>
      <c r="AO31" s="301"/>
      <c r="AP31" s="300" t="e">
        <f>VLOOKUP(CONCATENATE(form!$CV$18,".",form!$CW$18,".",form!$DA$18,".",form!$CY$18),Лист1!$EH:$EL,5,0)</f>
        <v>#N/A</v>
      </c>
      <c r="AQ31" s="302"/>
      <c r="AR31" s="302"/>
      <c r="AS31" s="293" t="e">
        <f t="shared" si="8"/>
        <v>#N/A</v>
      </c>
      <c r="AU31" s="616">
        <f t="shared" si="7"/>
        <v>0</v>
      </c>
      <c r="AV31" s="294">
        <f t="shared" si="9"/>
        <v>0</v>
      </c>
      <c r="AX31" s="294"/>
    </row>
    <row r="32" spans="2:50" s="273" customFormat="1" ht="24.9" customHeight="1" x14ac:dyDescent="0.2">
      <c r="B32" s="377"/>
      <c r="C32" s="566" t="str">
        <f t="shared" si="10"/>
        <v/>
      </c>
      <c r="D32" s="568" t="str">
        <f t="shared" si="11"/>
        <v/>
      </c>
      <c r="E32" s="462" t="str">
        <f>IF(OR(J32=0,J32=""),"",VLOOKUP(R32,Лист1!$M:$O,3,0))</f>
        <v/>
      </c>
      <c r="F32" s="303" t="str">
        <f t="shared" si="12"/>
        <v/>
      </c>
      <c r="G32" s="587" t="str">
        <f t="shared" si="13"/>
        <v/>
      </c>
      <c r="H32" s="304" t="str">
        <f t="shared" si="14"/>
        <v/>
      </c>
      <c r="J32" s="282" t="str">
        <f>form!$DL$18</f>
        <v/>
      </c>
      <c r="L32" s="305" t="str">
        <f>IF(G32="","",CONCATENATE(R32,".",T32,".",S32,".",U32))</f>
        <v/>
      </c>
      <c r="M32" s="305" t="str">
        <f>IF(G32="","",CONCATENATE(AA32,", ",AC32,", ",AD32))</f>
        <v/>
      </c>
      <c r="N32" s="305" t="str">
        <f t="shared" si="5"/>
        <v/>
      </c>
      <c r="O32" s="305" t="str">
        <f t="shared" si="6"/>
        <v/>
      </c>
      <c r="Q32" s="306" t="s">
        <v>255</v>
      </c>
      <c r="R32" s="307" t="e">
        <f>VLOOKUP(form!$DG$18,Лист1!$L:$N,2,0)</f>
        <v>#N/A</v>
      </c>
      <c r="S32" s="308" t="e">
        <f>VLOOKUP(form!$DG$18,Лист1!$Q:$S,2,0)</f>
        <v>#N/A</v>
      </c>
      <c r="T32" s="308" t="e">
        <f>VLOOKUP(CONCATENATE(form!$DG$18,".",form!$DI$18),Лист1!$U:$W,2,0)</f>
        <v>#N/A</v>
      </c>
      <c r="U32" s="309" t="e">
        <f>VLOOKUP(form!$DK$18,Лист1!$Y:$AA,2,0)</f>
        <v>#N/A</v>
      </c>
      <c r="V32" s="310"/>
      <c r="W32" s="310"/>
      <c r="X32" s="310"/>
      <c r="Y32" s="310"/>
      <c r="AA32" s="305" t="e">
        <f>VLOOKUP(form!$DG$18,Лист1!$L:$N,3,0)</f>
        <v>#N/A</v>
      </c>
      <c r="AB32" s="310"/>
      <c r="AC32" s="305" t="e">
        <f>VLOOKUP(CONCATENATE(form!$DG$18,".",form!$DI$18),Лист1!$U:$W,3,0)</f>
        <v>#N/A</v>
      </c>
      <c r="AD32" s="305" t="e">
        <f>VLOOKUP(form!$DK$18,Лист1!$Y:$AA,3,0)</f>
        <v>#N/A</v>
      </c>
      <c r="AE32" s="310"/>
      <c r="AF32" s="310"/>
      <c r="AG32" s="310"/>
      <c r="AH32" s="310"/>
      <c r="AJ32" s="311" t="e">
        <f>VLOOKUP(CONCATENATE(form!$DG$18,".",form!$DJ$18),Лист1!$DD:$DH,5,0)</f>
        <v>#N/A</v>
      </c>
      <c r="AK32" s="310"/>
      <c r="AL32" s="310"/>
      <c r="AM32" s="310"/>
      <c r="AN32" s="310"/>
      <c r="AO32" s="310"/>
      <c r="AP32" s="311" t="e">
        <f>VLOOKUP(CONCATENATE(form!$DG$18,".",form!$DJ$18,".",form!$DH$18),Лист1!$EH:$EL,5,0)</f>
        <v>#N/A</v>
      </c>
      <c r="AQ32" s="312"/>
      <c r="AR32" s="312"/>
      <c r="AS32" s="313" t="e">
        <f t="shared" si="8"/>
        <v>#N/A</v>
      </c>
      <c r="AU32" s="617">
        <f t="shared" si="7"/>
        <v>0</v>
      </c>
      <c r="AV32" s="314">
        <f t="shared" si="9"/>
        <v>0</v>
      </c>
      <c r="AX32" s="294"/>
    </row>
    <row r="33" spans="2:50" s="273" customFormat="1" ht="24.9" customHeight="1" x14ac:dyDescent="0.2">
      <c r="B33" s="378"/>
      <c r="C33" s="565" t="str">
        <f t="shared" si="10"/>
        <v/>
      </c>
      <c r="D33" s="567" t="str">
        <f t="shared" si="11"/>
        <v/>
      </c>
      <c r="E33" s="461" t="str">
        <f>IF(OR(J33=0,J33=""),"",VLOOKUP(R33,Лист1!$M:$O,3,0))</f>
        <v/>
      </c>
      <c r="F33" s="280" t="str">
        <f t="shared" si="12"/>
        <v/>
      </c>
      <c r="G33" s="586" t="str">
        <f t="shared" si="13"/>
        <v/>
      </c>
      <c r="H33" s="281" t="str">
        <f t="shared" si="14"/>
        <v/>
      </c>
      <c r="J33" s="282">
        <f>form!$R$19</f>
        <v>0</v>
      </c>
      <c r="L33" s="283" t="str">
        <f>IF(G33="","",CONCATENATE(R33,".",S33,".",T33,".",U33,".",V33,".",W33,".",X33,".",Y33))</f>
        <v/>
      </c>
      <c r="M33" s="283" t="str">
        <f>IF(G33="","",CONCATENATE(AA33,", ",AB33,", ",AC33,", ",AD33,", ",AE33,", ",AF33,", ",AG33,", ",AH33))</f>
        <v/>
      </c>
      <c r="N33" s="283" t="str">
        <f t="shared" ref="N33:N53" si="15">IF(G33="","",AS33*(1-$G$1))</f>
        <v/>
      </c>
      <c r="O33" s="283" t="str">
        <f t="shared" ref="O33:O53" si="16">IF(F33="","",G33*F33)</f>
        <v/>
      </c>
      <c r="Q33" s="284" t="s">
        <v>253</v>
      </c>
      <c r="R33" s="285" t="e">
        <f>VLOOKUP(CONCATENATE(form!$C$19,".",form!$D$19),Лист1!$L:$N,2,0)</f>
        <v>#N/A</v>
      </c>
      <c r="S33" s="286" t="e">
        <f>VLOOKUP(CONCATENATE(form!$C$19,".",form!$D$19),Лист1!$Q:$S,2,0)</f>
        <v>#N/A</v>
      </c>
      <c r="T33" s="286" t="e">
        <f>VLOOKUP(CONCATENATE(form!$E$19,".",form!$F$19,".",form!$G$19),Лист1!$U:$W,2,0)</f>
        <v>#N/A</v>
      </c>
      <c r="U33" s="287" t="e">
        <f>VLOOKUP(form!$I$19,Лист1!$Y:$AA,2,0)</f>
        <v>#N/A</v>
      </c>
      <c r="V33" s="287" t="e">
        <f>VLOOKUP(form!$J$19,Лист1!$AC:$AE,2,0)</f>
        <v>#N/A</v>
      </c>
      <c r="W33" s="287" t="e">
        <f>VLOOKUP(form!$K$19,Лист1!$AG:$AI,2,0)</f>
        <v>#N/A</v>
      </c>
      <c r="X33" s="287" t="e">
        <f>VLOOKUP(CONCATENATE(form!$L$19,".",form!$M$19),Лист1!$AK$14:$AM$59,2,0)</f>
        <v>#N/A</v>
      </c>
      <c r="Y33" s="287" t="e">
        <f>VLOOKUP(CONCATENATE(form!$L$19,".",form!$N$19),Лист1!$AO$13:$AQ$40,2,0)</f>
        <v>#N/A</v>
      </c>
      <c r="AA33" s="288" t="e">
        <f>VLOOKUP(CONCATENATE(form!$C$19,".",form!$D$19),Лист1!$L:$N,3,0)</f>
        <v>#N/A</v>
      </c>
      <c r="AB33" s="288" t="e">
        <f>VLOOKUP(CONCATENATE(form!$C$19,".",form!$D$19),Лист1!$Q:$S,3,0)</f>
        <v>#N/A</v>
      </c>
      <c r="AC33" s="288" t="e">
        <f>VLOOKUP(CONCATENATE(form!$E$19,".",form!$F$19,".",form!$G$19),Лист1!$U:$W,3,0)</f>
        <v>#N/A</v>
      </c>
      <c r="AD33" s="288" t="e">
        <f>VLOOKUP(form!$I$19,Лист1!$Y:$AA,3,0)</f>
        <v>#N/A</v>
      </c>
      <c r="AE33" s="288" t="e">
        <f>VLOOKUP(form!$J$19,Лист1!$AC:$AE,3,0)</f>
        <v>#N/A</v>
      </c>
      <c r="AF33" s="289" t="e">
        <f>VLOOKUP(form!$K$19,Лист1!$AG:$AI,3,0)</f>
        <v>#N/A</v>
      </c>
      <c r="AG33" s="288" t="e">
        <f>VLOOKUP(CONCATENATE(form!$L$19,".",form!$M$19),Лист1!$AK$14:$AM$59,3,0)</f>
        <v>#N/A</v>
      </c>
      <c r="AH33" s="288" t="e">
        <f>VLOOKUP(CONCATENATE(form!$L$19,".",form!$N$19),Лист1!$AO$13:$AQ$40,3,0)</f>
        <v>#N/A</v>
      </c>
      <c r="AJ33" s="290" t="e">
        <f>VLOOKUP(CONCATENATE(form!$C$19,".",form!$D$19,".",form!$H$19),Лист1!$DD:$DH,5,0)</f>
        <v>#N/A</v>
      </c>
      <c r="AK33" s="290" t="e">
        <f>VLOOKUP(CONCATENATE(form!$C$19,".",form!$J$19),Лист1!$DJ:$DN,5,0)</f>
        <v>#N/A</v>
      </c>
      <c r="AL33" s="290" t="e">
        <f>VLOOKUP(CONCATENATE(form!$C$19,".",form!$D$19,".",form!$K$19),Лист1!$DP:$DT,5,0)</f>
        <v>#N/A</v>
      </c>
      <c r="AM33" s="291"/>
      <c r="AN33" s="290" t="e">
        <f>VLOOKUP(CONCATENATE(form!$C$19,".",form!$L$19),Лист1!$DV:$DZ,5,0)</f>
        <v>#N/A</v>
      </c>
      <c r="AO33" s="290" t="e">
        <f>VLOOKUP(CONCATENATE(form!$C$19,".",form!$M$19),Лист1!$EB:$EF,5,0)</f>
        <v>#N/A</v>
      </c>
      <c r="AP33" s="612"/>
      <c r="AQ33" s="292" t="str">
        <f>IF(ISNA(AR33),"0",AR33)</f>
        <v>0</v>
      </c>
      <c r="AR33" s="623" t="e">
        <f>VLOOKUP(CONCATENATE(form!$C$19,".",form!$G$19),Лист1!$EH:$EL,5,0)</f>
        <v>#N/A</v>
      </c>
      <c r="AS33" s="293" t="e">
        <f t="shared" si="8"/>
        <v>#N/A</v>
      </c>
      <c r="AU33" s="616">
        <f t="shared" ref="AU33:AU53" si="17">IF(ISNA(AV33),"0",AV33)</f>
        <v>0</v>
      </c>
      <c r="AV33" s="294">
        <f t="shared" ref="AV33:AV53" si="18">IF(G33="",0,ROUND(AS33*G33,2))</f>
        <v>0</v>
      </c>
      <c r="AX33" s="294"/>
    </row>
    <row r="34" spans="2:50" s="273" customFormat="1" ht="24.9" customHeight="1" x14ac:dyDescent="0.2">
      <c r="B34" s="376">
        <v>9</v>
      </c>
      <c r="C34" s="565" t="str">
        <f t="shared" si="10"/>
        <v/>
      </c>
      <c r="D34" s="567" t="str">
        <f t="shared" si="11"/>
        <v/>
      </c>
      <c r="E34" s="461" t="str">
        <f>IF(OR(J34=0,J34=""),"",VLOOKUP(R34,Лист1!$M:$O,3,0))</f>
        <v/>
      </c>
      <c r="F34" s="280" t="str">
        <f t="shared" si="12"/>
        <v/>
      </c>
      <c r="G34" s="586" t="str">
        <f t="shared" si="13"/>
        <v/>
      </c>
      <c r="H34" s="281" t="str">
        <f t="shared" si="14"/>
        <v/>
      </c>
      <c r="J34" s="282" t="str">
        <f>form!$DE$19</f>
        <v/>
      </c>
      <c r="L34" s="295" t="str">
        <f>IF(G34="","",CONCATENATE(R34,".",T34,".",S34,".",U34,".",X34,".",Y34))</f>
        <v/>
      </c>
      <c r="M34" s="295" t="str">
        <f>IF(G34="","",CONCATENATE(AA34,", ",AB34,", ",AC34,", ",AD34,", ",AG34,", ",AH34))</f>
        <v/>
      </c>
      <c r="N34" s="295" t="str">
        <f t="shared" si="15"/>
        <v/>
      </c>
      <c r="O34" s="295" t="str">
        <f t="shared" si="16"/>
        <v/>
      </c>
      <c r="Q34" s="296" t="s">
        <v>254</v>
      </c>
      <c r="R34" s="285" t="e">
        <f>VLOOKUP(CONCATENATE(form!$CV$19,".",form!$CW$19),Лист1!$L:$N,2,0)</f>
        <v>#N/A</v>
      </c>
      <c r="S34" s="286" t="e">
        <f>VLOOKUP(CONCATENATE(form!$CV$19,".",form!$CW$19),Лист1!$Q:$S,2,0)</f>
        <v>#N/A</v>
      </c>
      <c r="T34" s="286" t="e">
        <f>VLOOKUP(CONCATENATE(form!$CV$19,".",form!$CX$19,".",form!$CY$19,".",form!$CZ$19),Лист1!$U:$W,2,0)</f>
        <v>#N/A</v>
      </c>
      <c r="U34" s="287" t="e">
        <f>VLOOKUP(form!$DB$19,Лист1!$Y:$AA,2,0)</f>
        <v>#N/A</v>
      </c>
      <c r="V34" s="297"/>
      <c r="W34" s="297"/>
      <c r="X34" s="287" t="e">
        <f>VLOOKUP(form!$DC$19,Лист1!$AK$63:$AM$77,2,0)</f>
        <v>#N/A</v>
      </c>
      <c r="Y34" s="287" t="e">
        <f>VLOOKUP(form!$DD$19,Лист1!$AO$43:$AQ$60,2,0)</f>
        <v>#N/A</v>
      </c>
      <c r="AA34" s="295" t="e">
        <f>VLOOKUP(CONCATENATE(form!$CV$19,".",form!$CW$19),Лист1!$L:$N,3,0)</f>
        <v>#N/A</v>
      </c>
      <c r="AB34" s="295" t="e">
        <f>VLOOKUP(CONCATENATE(form!$CV$19,".",form!$CW$19),Лист1!$Q:$S,3,0)</f>
        <v>#N/A</v>
      </c>
      <c r="AC34" s="295" t="e">
        <f>VLOOKUP(CONCATENATE(form!$CV$19,".",form!$CX$19,".",form!$CY$19,".",form!$CZ$19),Лист1!$U:$W,3,0)</f>
        <v>#N/A</v>
      </c>
      <c r="AD34" s="295" t="e">
        <f>VLOOKUP(form!$DB$19,Лист1!$Y:$AA,3,0)</f>
        <v>#N/A</v>
      </c>
      <c r="AE34" s="298"/>
      <c r="AF34" s="298"/>
      <c r="AG34" s="299" t="e">
        <f>VLOOKUP(form!$DC$19,Лист1!$AK$63:$AM$77,3,0)</f>
        <v>#N/A</v>
      </c>
      <c r="AH34" s="295" t="e">
        <f>VLOOKUP(form!$DD$19,Лист1!$AO$43:$AQ$60,3,0)</f>
        <v>#N/A</v>
      </c>
      <c r="AJ34" s="300" t="e">
        <f>VLOOKUP(CONCATENATE(form!$CV$19,".",form!$CW$19,".",form!$DA$19),Лист1!$DD:$DH,5,0)</f>
        <v>#N/A</v>
      </c>
      <c r="AK34" s="301"/>
      <c r="AL34" s="301"/>
      <c r="AM34" s="301"/>
      <c r="AN34" s="290" t="e">
        <f>VLOOKUP(CONCATENATE(form!$CV$19,".",form!$DC$19),Лист1!$DV:$DZ,5,0)</f>
        <v>#N/A</v>
      </c>
      <c r="AO34" s="301"/>
      <c r="AP34" s="300" t="e">
        <f>VLOOKUP(CONCATENATE(form!$CV$19,".",form!$CW$19,".",form!$DA$19,".",form!$CY$19),Лист1!$EH:$EL,5,0)</f>
        <v>#N/A</v>
      </c>
      <c r="AQ34" s="302"/>
      <c r="AR34" s="302"/>
      <c r="AS34" s="293" t="e">
        <f t="shared" si="8"/>
        <v>#N/A</v>
      </c>
      <c r="AU34" s="616">
        <f t="shared" si="17"/>
        <v>0</v>
      </c>
      <c r="AV34" s="294">
        <f t="shared" si="18"/>
        <v>0</v>
      </c>
      <c r="AX34" s="294"/>
    </row>
    <row r="35" spans="2:50" s="273" customFormat="1" ht="24.9" customHeight="1" x14ac:dyDescent="0.2">
      <c r="B35" s="377"/>
      <c r="C35" s="566" t="str">
        <f t="shared" si="10"/>
        <v/>
      </c>
      <c r="D35" s="568" t="str">
        <f t="shared" si="11"/>
        <v/>
      </c>
      <c r="E35" s="462" t="str">
        <f>IF(OR(J35=0,J35=""),"",VLOOKUP(R35,Лист1!$M:$O,3,0))</f>
        <v/>
      </c>
      <c r="F35" s="303" t="str">
        <f t="shared" si="12"/>
        <v/>
      </c>
      <c r="G35" s="587" t="str">
        <f t="shared" si="13"/>
        <v/>
      </c>
      <c r="H35" s="304" t="str">
        <f t="shared" si="14"/>
        <v/>
      </c>
      <c r="J35" s="282" t="str">
        <f>form!$DL$19</f>
        <v/>
      </c>
      <c r="L35" s="305" t="str">
        <f>IF(G35="","",CONCATENATE(R35,".",T35,".",S35,".",U35))</f>
        <v/>
      </c>
      <c r="M35" s="305" t="str">
        <f>IF(G35="","",CONCATENATE(AA35,", ",AC35,", ",AD35))</f>
        <v/>
      </c>
      <c r="N35" s="305" t="str">
        <f t="shared" si="15"/>
        <v/>
      </c>
      <c r="O35" s="305" t="str">
        <f t="shared" si="16"/>
        <v/>
      </c>
      <c r="Q35" s="306" t="s">
        <v>255</v>
      </c>
      <c r="R35" s="307" t="e">
        <f>VLOOKUP(form!$DG$19,Лист1!$L:$N,2,0)</f>
        <v>#N/A</v>
      </c>
      <c r="S35" s="308" t="e">
        <f>VLOOKUP(form!$DG$19,Лист1!$Q:$S,2,0)</f>
        <v>#N/A</v>
      </c>
      <c r="T35" s="308" t="e">
        <f>VLOOKUP(CONCATENATE(form!$DG$19,".",form!$DI$19),Лист1!$U:$W,2,0)</f>
        <v>#N/A</v>
      </c>
      <c r="U35" s="309" t="e">
        <f>VLOOKUP(form!$DK$19,Лист1!$Y:$AA,2,0)</f>
        <v>#N/A</v>
      </c>
      <c r="V35" s="310"/>
      <c r="W35" s="310"/>
      <c r="X35" s="310"/>
      <c r="Y35" s="310"/>
      <c r="AA35" s="305" t="e">
        <f>VLOOKUP(form!$DG$19,Лист1!$L:$N,3,0)</f>
        <v>#N/A</v>
      </c>
      <c r="AB35" s="310"/>
      <c r="AC35" s="305" t="e">
        <f>VLOOKUP(CONCATENATE(form!$DG$19,".",form!$DI$19),Лист1!$U:$W,3,0)</f>
        <v>#N/A</v>
      </c>
      <c r="AD35" s="305" t="e">
        <f>VLOOKUP(form!$DK$19,Лист1!$Y:$AA,3,0)</f>
        <v>#N/A</v>
      </c>
      <c r="AE35" s="310"/>
      <c r="AF35" s="310"/>
      <c r="AG35" s="310"/>
      <c r="AH35" s="310"/>
      <c r="AJ35" s="311" t="e">
        <f>VLOOKUP(CONCATENATE(form!$DG$19,".",form!$DJ$19),Лист1!$DD:$DH,5,0)</f>
        <v>#N/A</v>
      </c>
      <c r="AK35" s="310"/>
      <c r="AL35" s="310"/>
      <c r="AM35" s="310"/>
      <c r="AN35" s="310"/>
      <c r="AO35" s="310"/>
      <c r="AP35" s="311" t="e">
        <f>VLOOKUP(CONCATENATE(form!$DG$19,".",form!$DJ$19,".",form!$DH$19),Лист1!$EH:$EL,5,0)</f>
        <v>#N/A</v>
      </c>
      <c r="AQ35" s="312"/>
      <c r="AR35" s="312"/>
      <c r="AS35" s="313" t="e">
        <f t="shared" si="8"/>
        <v>#N/A</v>
      </c>
      <c r="AU35" s="617">
        <f t="shared" si="17"/>
        <v>0</v>
      </c>
      <c r="AV35" s="314">
        <f t="shared" si="18"/>
        <v>0</v>
      </c>
      <c r="AX35" s="294"/>
    </row>
    <row r="36" spans="2:50" s="273" customFormat="1" ht="24.9" customHeight="1" x14ac:dyDescent="0.2">
      <c r="B36" s="378"/>
      <c r="C36" s="565" t="str">
        <f t="shared" si="10"/>
        <v/>
      </c>
      <c r="D36" s="567" t="str">
        <f t="shared" si="11"/>
        <v/>
      </c>
      <c r="E36" s="461" t="str">
        <f>IF(OR(J36=0,J36=""),"",VLOOKUP(R36,Лист1!$M:$O,3,0))</f>
        <v/>
      </c>
      <c r="F36" s="280" t="str">
        <f t="shared" si="12"/>
        <v/>
      </c>
      <c r="G36" s="586" t="str">
        <f t="shared" si="13"/>
        <v/>
      </c>
      <c r="H36" s="281" t="str">
        <f t="shared" si="14"/>
        <v/>
      </c>
      <c r="J36" s="282">
        <f>form!$R$20</f>
        <v>0</v>
      </c>
      <c r="L36" s="283" t="str">
        <f>IF(G36="","",CONCATENATE(R36,".",S36,".",T36,".",U36,".",V36,".",W36,".",X36,".",Y36))</f>
        <v/>
      </c>
      <c r="M36" s="283" t="str">
        <f>IF(G36="","",CONCATENATE(AA36,", ",AB36,", ",AC36,", ",AD36,", ",AE36,", ",AF36,", ",AG36,", ",AH36))</f>
        <v/>
      </c>
      <c r="N36" s="283" t="str">
        <f t="shared" si="15"/>
        <v/>
      </c>
      <c r="O36" s="283" t="str">
        <f t="shared" si="16"/>
        <v/>
      </c>
      <c r="Q36" s="284" t="s">
        <v>253</v>
      </c>
      <c r="R36" s="285" t="e">
        <f>VLOOKUP(CONCATENATE(form!$C$20,".",form!$D$20),Лист1!$L:$N,2,0)</f>
        <v>#N/A</v>
      </c>
      <c r="S36" s="286" t="e">
        <f>VLOOKUP(CONCATENATE(form!$C$20,".",form!$D$20),Лист1!$Q:$S,2,0)</f>
        <v>#N/A</v>
      </c>
      <c r="T36" s="286" t="e">
        <f>VLOOKUP(CONCATENATE(form!$E$20,".",form!$F$20,".",form!$G$20),Лист1!$U:$W,2,0)</f>
        <v>#N/A</v>
      </c>
      <c r="U36" s="287" t="e">
        <f>VLOOKUP(form!$I$20,Лист1!$Y:$AA,2,0)</f>
        <v>#N/A</v>
      </c>
      <c r="V36" s="287" t="e">
        <f>VLOOKUP(form!$J$20,Лист1!$AC:$AE,2,0)</f>
        <v>#N/A</v>
      </c>
      <c r="W36" s="287" t="e">
        <f>VLOOKUP(form!$K$20,Лист1!$AG:$AI,2,0)</f>
        <v>#N/A</v>
      </c>
      <c r="X36" s="287" t="e">
        <f>VLOOKUP(CONCATENATE(form!$L$20,".",form!$M$20),Лист1!$AK$14:$AM$59,2,0)</f>
        <v>#N/A</v>
      </c>
      <c r="Y36" s="287" t="e">
        <f>VLOOKUP(CONCATENATE(form!$L$20,".",form!$N$20),Лист1!$AO$13:$AQ$40,2,0)</f>
        <v>#N/A</v>
      </c>
      <c r="AA36" s="288" t="e">
        <f>VLOOKUP(CONCATENATE(form!$C$20,".",form!$D$20),Лист1!$L:$N,3,0)</f>
        <v>#N/A</v>
      </c>
      <c r="AB36" s="288" t="e">
        <f>VLOOKUP(CONCATENATE(form!$C$20,".",form!$D$20),Лист1!$Q:$S,3,0)</f>
        <v>#N/A</v>
      </c>
      <c r="AC36" s="288" t="e">
        <f>VLOOKUP(CONCATENATE(form!$E$20,".",form!$F$20,".",form!$G$20),Лист1!$U:$W,3,0)</f>
        <v>#N/A</v>
      </c>
      <c r="AD36" s="288" t="e">
        <f>VLOOKUP(form!$I$20,Лист1!$Y:$AA,3,0)</f>
        <v>#N/A</v>
      </c>
      <c r="AE36" s="288" t="e">
        <f>VLOOKUP(form!$J$20,Лист1!$AC:$AE,3,0)</f>
        <v>#N/A</v>
      </c>
      <c r="AF36" s="289" t="e">
        <f>VLOOKUP(form!$K$20,Лист1!$AG:$AI,3,0)</f>
        <v>#N/A</v>
      </c>
      <c r="AG36" s="288" t="e">
        <f>VLOOKUP(CONCATENATE(form!$L$20,".",form!$M$20),Лист1!$AK$14:$AM$59,3,0)</f>
        <v>#N/A</v>
      </c>
      <c r="AH36" s="288" t="e">
        <f>VLOOKUP(CONCATENATE(form!$L$20,".",form!$N$20),Лист1!$AO$13:$AQ$40,3,0)</f>
        <v>#N/A</v>
      </c>
      <c r="AJ36" s="290" t="e">
        <f>VLOOKUP(CONCATENATE(form!$C$20,".",form!$D$20,".",form!$H$20),Лист1!$DD:$DH,5,0)</f>
        <v>#N/A</v>
      </c>
      <c r="AK36" s="290" t="e">
        <f>VLOOKUP(CONCATENATE(form!$C$20,".",form!$J$20),Лист1!$DJ:$DN,5,0)</f>
        <v>#N/A</v>
      </c>
      <c r="AL36" s="290" t="e">
        <f>VLOOKUP(CONCATENATE(form!$C$20,".",form!$D$20,".",form!$K$20),Лист1!$DP:$DT,5,0)</f>
        <v>#N/A</v>
      </c>
      <c r="AM36" s="291"/>
      <c r="AN36" s="290" t="e">
        <f>VLOOKUP(CONCATENATE(form!$C$20,".",form!$L$20),Лист1!$DV:$DZ,5,0)</f>
        <v>#N/A</v>
      </c>
      <c r="AO36" s="290" t="e">
        <f>VLOOKUP(CONCATENATE(form!$C$20,".",form!$M$20),Лист1!$EB:$EF,5,0)</f>
        <v>#N/A</v>
      </c>
      <c r="AP36" s="612"/>
      <c r="AQ36" s="292" t="str">
        <f>IF(ISNA(AR36),"0",AR36)</f>
        <v>0</v>
      </c>
      <c r="AR36" s="623" t="e">
        <f>VLOOKUP(CONCATENATE(form!$C$20,".",form!$G$20),Лист1!$EH:$EL,5,0)</f>
        <v>#N/A</v>
      </c>
      <c r="AS36" s="293" t="e">
        <f t="shared" si="8"/>
        <v>#N/A</v>
      </c>
      <c r="AU36" s="616">
        <f t="shared" si="17"/>
        <v>0</v>
      </c>
      <c r="AV36" s="294">
        <f t="shared" si="18"/>
        <v>0</v>
      </c>
      <c r="AX36" s="294"/>
    </row>
    <row r="37" spans="2:50" s="273" customFormat="1" ht="24.9" customHeight="1" x14ac:dyDescent="0.2">
      <c r="B37" s="376">
        <v>10</v>
      </c>
      <c r="C37" s="565" t="str">
        <f t="shared" si="10"/>
        <v/>
      </c>
      <c r="D37" s="567" t="str">
        <f t="shared" si="11"/>
        <v/>
      </c>
      <c r="E37" s="461" t="str">
        <f>IF(OR(J37=0,J37=""),"",VLOOKUP(R37,Лист1!$M:$O,3,0))</f>
        <v/>
      </c>
      <c r="F37" s="280" t="str">
        <f t="shared" si="12"/>
        <v/>
      </c>
      <c r="G37" s="586" t="str">
        <f t="shared" si="13"/>
        <v/>
      </c>
      <c r="H37" s="281" t="str">
        <f t="shared" si="14"/>
        <v/>
      </c>
      <c r="J37" s="282" t="str">
        <f>form!$DE$20</f>
        <v/>
      </c>
      <c r="L37" s="295" t="str">
        <f>IF(G37="","",CONCATENATE(R37,".",T37,".",S37,".",U37,".",X37,".",Y37))</f>
        <v/>
      </c>
      <c r="M37" s="295" t="str">
        <f>IF(G37="","",CONCATENATE(AA37,", ",AB37,", ",AC37,", ",AD37,", ",AG37,", ",AH37))</f>
        <v/>
      </c>
      <c r="N37" s="295" t="str">
        <f t="shared" si="15"/>
        <v/>
      </c>
      <c r="O37" s="295" t="str">
        <f t="shared" si="16"/>
        <v/>
      </c>
      <c r="Q37" s="296" t="s">
        <v>254</v>
      </c>
      <c r="R37" s="285" t="e">
        <f>VLOOKUP(CONCATENATE(form!$CV$20,".",form!$CW$20),Лист1!$L:$N,2,0)</f>
        <v>#N/A</v>
      </c>
      <c r="S37" s="286" t="e">
        <f>VLOOKUP(CONCATENATE(form!$CV$20,".",form!$CW$20),Лист1!$Q:$S,2,0)</f>
        <v>#N/A</v>
      </c>
      <c r="T37" s="286" t="e">
        <f>VLOOKUP(CONCATENATE(form!$CV$20,".",form!$CX$20,".",form!$CY$20,".",form!$CZ$20),Лист1!$U:$W,2,0)</f>
        <v>#N/A</v>
      </c>
      <c r="U37" s="287" t="e">
        <f>VLOOKUP(form!$DB$20,Лист1!$Y:$AA,2,0)</f>
        <v>#N/A</v>
      </c>
      <c r="V37" s="297"/>
      <c r="W37" s="297"/>
      <c r="X37" s="287" t="e">
        <f>VLOOKUP(form!$DC$20,Лист1!$AK$63:$AM$77,2,0)</f>
        <v>#N/A</v>
      </c>
      <c r="Y37" s="287" t="e">
        <f>VLOOKUP(form!$DD$20,Лист1!$AO$43:$AQ$60,2,0)</f>
        <v>#N/A</v>
      </c>
      <c r="AA37" s="295" t="e">
        <f>VLOOKUP(CONCATENATE(form!$CV$20,".",form!$CW$20),Лист1!$L:$N,3,0)</f>
        <v>#N/A</v>
      </c>
      <c r="AB37" s="295" t="e">
        <f>VLOOKUP(CONCATENATE(form!$CV$20,".",form!$CW$20),Лист1!$Q:$S,3,0)</f>
        <v>#N/A</v>
      </c>
      <c r="AC37" s="295" t="e">
        <f>VLOOKUP(CONCATENATE(form!$CV$20,".",form!$CX$20,".",form!$CY$20,".",form!$CZ$20),Лист1!$U:$W,3,0)</f>
        <v>#N/A</v>
      </c>
      <c r="AD37" s="295" t="e">
        <f>VLOOKUP(form!$DB$20,Лист1!$Y:$AA,3,0)</f>
        <v>#N/A</v>
      </c>
      <c r="AE37" s="298"/>
      <c r="AF37" s="298"/>
      <c r="AG37" s="299" t="e">
        <f>VLOOKUP(form!$DC$20,Лист1!$AK$63:$AM$77,3,0)</f>
        <v>#N/A</v>
      </c>
      <c r="AH37" s="295" t="e">
        <f>VLOOKUP(form!$DD$20,Лист1!$AO$43:$AQ$60,3,0)</f>
        <v>#N/A</v>
      </c>
      <c r="AJ37" s="300" t="e">
        <f>VLOOKUP(CONCATENATE(form!$CV$20,".",form!$CW$20,".",form!$DA$20),Лист1!$DD:$DH,5,0)</f>
        <v>#N/A</v>
      </c>
      <c r="AK37" s="301"/>
      <c r="AL37" s="301"/>
      <c r="AM37" s="301"/>
      <c r="AN37" s="290" t="e">
        <f>VLOOKUP(CONCATENATE(form!$CV$20,".",form!$DC$20),Лист1!$DV:$DZ,5,0)</f>
        <v>#N/A</v>
      </c>
      <c r="AO37" s="301"/>
      <c r="AP37" s="300" t="e">
        <f>VLOOKUP(CONCATENATE(form!$CV$20,".",form!$CW$20,".",form!$DA$20,".",form!$CY$20),Лист1!$EH:$EL,5,0)</f>
        <v>#N/A</v>
      </c>
      <c r="AQ37" s="302"/>
      <c r="AR37" s="302"/>
      <c r="AS37" s="293" t="e">
        <f t="shared" si="8"/>
        <v>#N/A</v>
      </c>
      <c r="AU37" s="616">
        <f t="shared" si="17"/>
        <v>0</v>
      </c>
      <c r="AV37" s="294">
        <f t="shared" si="18"/>
        <v>0</v>
      </c>
      <c r="AX37" s="294"/>
    </row>
    <row r="38" spans="2:50" s="273" customFormat="1" ht="24.9" customHeight="1" x14ac:dyDescent="0.2">
      <c r="B38" s="377"/>
      <c r="C38" s="566" t="str">
        <f t="shared" si="10"/>
        <v/>
      </c>
      <c r="D38" s="568" t="str">
        <f t="shared" si="11"/>
        <v/>
      </c>
      <c r="E38" s="462" t="str">
        <f>IF(OR(J38=0,J38=""),"",VLOOKUP(R38,Лист1!$M:$O,3,0))</f>
        <v/>
      </c>
      <c r="F38" s="303" t="str">
        <f t="shared" si="12"/>
        <v/>
      </c>
      <c r="G38" s="587" t="str">
        <f t="shared" si="13"/>
        <v/>
      </c>
      <c r="H38" s="304" t="str">
        <f t="shared" si="14"/>
        <v/>
      </c>
      <c r="J38" s="282" t="str">
        <f>form!$DL$20</f>
        <v/>
      </c>
      <c r="L38" s="305" t="str">
        <f>IF(G38="","",CONCATENATE(R38,".",T38,".",S38,".",U38))</f>
        <v/>
      </c>
      <c r="M38" s="305" t="str">
        <f>IF(G38="","",CONCATENATE(AA38,", ",AC38,", ",AD38))</f>
        <v/>
      </c>
      <c r="N38" s="305" t="str">
        <f t="shared" si="15"/>
        <v/>
      </c>
      <c r="O38" s="305" t="str">
        <f t="shared" si="16"/>
        <v/>
      </c>
      <c r="Q38" s="306" t="s">
        <v>255</v>
      </c>
      <c r="R38" s="307" t="e">
        <f>VLOOKUP(form!$DG$20,Лист1!$L:$N,2,0)</f>
        <v>#N/A</v>
      </c>
      <c r="S38" s="308" t="e">
        <f>VLOOKUP(form!$DG$20,Лист1!$Q:$S,2,0)</f>
        <v>#N/A</v>
      </c>
      <c r="T38" s="308" t="e">
        <f>VLOOKUP(CONCATENATE(form!$DG$20,".",form!$DI$20),Лист1!$U:$W,2,0)</f>
        <v>#N/A</v>
      </c>
      <c r="U38" s="309" t="e">
        <f>VLOOKUP(form!$DK$20,Лист1!$Y:$AA,2,0)</f>
        <v>#N/A</v>
      </c>
      <c r="V38" s="310"/>
      <c r="W38" s="310"/>
      <c r="X38" s="310"/>
      <c r="Y38" s="310"/>
      <c r="AA38" s="305" t="e">
        <f>VLOOKUP(form!$DG$20,Лист1!$L:$N,3,0)</f>
        <v>#N/A</v>
      </c>
      <c r="AB38" s="310"/>
      <c r="AC38" s="305" t="e">
        <f>VLOOKUP(CONCATENATE(form!$DG$20,".",form!$DI$20),Лист1!$U:$W,3,0)</f>
        <v>#N/A</v>
      </c>
      <c r="AD38" s="305" t="e">
        <f>VLOOKUP(form!$DK$20,Лист1!$Y:$AA,3,0)</f>
        <v>#N/A</v>
      </c>
      <c r="AE38" s="310"/>
      <c r="AF38" s="310"/>
      <c r="AG38" s="310"/>
      <c r="AH38" s="310"/>
      <c r="AJ38" s="311" t="e">
        <f>VLOOKUP(CONCATENATE(form!$DG$20,".",form!$DJ$20),Лист1!$DD:$DH,5,0)</f>
        <v>#N/A</v>
      </c>
      <c r="AK38" s="310"/>
      <c r="AL38" s="310"/>
      <c r="AM38" s="310"/>
      <c r="AN38" s="310"/>
      <c r="AO38" s="310"/>
      <c r="AP38" s="311" t="e">
        <f>VLOOKUP(CONCATENATE(form!$DG$20,".",form!$DJ$20,".",form!$DH$20),Лист1!$EH:$EL,5,0)</f>
        <v>#N/A</v>
      </c>
      <c r="AQ38" s="312"/>
      <c r="AR38" s="312"/>
      <c r="AS38" s="313" t="e">
        <f t="shared" si="8"/>
        <v>#N/A</v>
      </c>
      <c r="AU38" s="617">
        <f t="shared" si="17"/>
        <v>0</v>
      </c>
      <c r="AV38" s="314">
        <f t="shared" si="18"/>
        <v>0</v>
      </c>
      <c r="AX38" s="294"/>
    </row>
    <row r="39" spans="2:50" s="273" customFormat="1" ht="24.9" customHeight="1" x14ac:dyDescent="0.2">
      <c r="B39" s="378"/>
      <c r="C39" s="565" t="str">
        <f t="shared" si="10"/>
        <v/>
      </c>
      <c r="D39" s="567" t="str">
        <f t="shared" si="11"/>
        <v/>
      </c>
      <c r="E39" s="461" t="str">
        <f>IF(OR(J39=0,J39=""),"",VLOOKUP(R39,Лист1!$M:$O,3,0))</f>
        <v/>
      </c>
      <c r="F39" s="280" t="str">
        <f t="shared" si="12"/>
        <v/>
      </c>
      <c r="G39" s="586" t="str">
        <f t="shared" si="13"/>
        <v/>
      </c>
      <c r="H39" s="281" t="str">
        <f t="shared" si="14"/>
        <v/>
      </c>
      <c r="J39" s="282">
        <f>form!$R$21</f>
        <v>0</v>
      </c>
      <c r="L39" s="283" t="str">
        <f>IF(G39="","",CONCATENATE(R39,".",S39,".",T39,".",U39,".",V39,".",W39,".",X39,".",Y39))</f>
        <v/>
      </c>
      <c r="M39" s="283" t="str">
        <f>IF(G39="","",CONCATENATE(AA39,", ",AB39,", ",AC39,", ",AD39,", ",AE39,", ",AF39,", ",AG39,", ",AH39))</f>
        <v/>
      </c>
      <c r="N39" s="283" t="str">
        <f t="shared" si="15"/>
        <v/>
      </c>
      <c r="O39" s="283" t="str">
        <f t="shared" si="16"/>
        <v/>
      </c>
      <c r="Q39" s="284" t="s">
        <v>253</v>
      </c>
      <c r="R39" s="285" t="e">
        <f>VLOOKUP(CONCATENATE(form!$C$21,".",form!$D$21),Лист1!$L:$N,2,0)</f>
        <v>#N/A</v>
      </c>
      <c r="S39" s="286" t="e">
        <f>VLOOKUP(CONCATENATE(form!$C$21,".",form!$D$21),Лист1!$Q:$S,2,0)</f>
        <v>#N/A</v>
      </c>
      <c r="T39" s="286" t="e">
        <f>VLOOKUP(CONCATENATE(form!$E$21,".",form!$F$21,".",form!$G$21),Лист1!$U:$W,2,0)</f>
        <v>#N/A</v>
      </c>
      <c r="U39" s="287" t="e">
        <f>VLOOKUP(form!$I$21,Лист1!$Y:$AA,2,0)</f>
        <v>#N/A</v>
      </c>
      <c r="V39" s="287" t="e">
        <f>VLOOKUP(form!$J$21,Лист1!$AC:$AE,2,0)</f>
        <v>#N/A</v>
      </c>
      <c r="W39" s="287" t="e">
        <f>VLOOKUP(form!$K$21,Лист1!$AG:$AI,2,0)</f>
        <v>#N/A</v>
      </c>
      <c r="X39" s="287" t="e">
        <f>VLOOKUP(CONCATENATE(form!$L$21,".",form!$M$21),Лист1!$AK$14:$AM$59,2,0)</f>
        <v>#N/A</v>
      </c>
      <c r="Y39" s="287" t="e">
        <f>VLOOKUP(CONCATENATE(form!$L$21,".",form!$N$21),Лист1!$AO$13:$AQ$40,2,0)</f>
        <v>#N/A</v>
      </c>
      <c r="AA39" s="288" t="e">
        <f>VLOOKUP(CONCATENATE(form!$C$21,".",form!$D$21),Лист1!$L:$N,3,0)</f>
        <v>#N/A</v>
      </c>
      <c r="AB39" s="288" t="e">
        <f>VLOOKUP(CONCATENATE(form!$C$21,".",form!$D$21),Лист1!$Q:$S,3,0)</f>
        <v>#N/A</v>
      </c>
      <c r="AC39" s="288" t="e">
        <f>VLOOKUP(CONCATENATE(form!$E$21,".",form!$F$21,".",form!$G$21),Лист1!$U:$W,3,0)</f>
        <v>#N/A</v>
      </c>
      <c r="AD39" s="288" t="e">
        <f>VLOOKUP(form!$I$21,Лист1!$Y:$AA,3,0)</f>
        <v>#N/A</v>
      </c>
      <c r="AE39" s="288" t="e">
        <f>VLOOKUP(form!$J$21,Лист1!$AC:$AE,3,0)</f>
        <v>#N/A</v>
      </c>
      <c r="AF39" s="289" t="e">
        <f>VLOOKUP(form!$K$21,Лист1!$AG:$AI,3,0)</f>
        <v>#N/A</v>
      </c>
      <c r="AG39" s="288" t="e">
        <f>VLOOKUP(CONCATENATE(form!$L$21,".",form!$M$21),Лист1!$AK$14:$AM$59,3,0)</f>
        <v>#N/A</v>
      </c>
      <c r="AH39" s="288" t="e">
        <f>VLOOKUP(CONCATENATE(form!$L$21,".",form!$N$21),Лист1!$AO$13:$AQ$40,3,0)</f>
        <v>#N/A</v>
      </c>
      <c r="AJ39" s="290" t="e">
        <f>VLOOKUP(CONCATENATE(form!$C$21,".",form!$D$21,".",form!$H$21),Лист1!$DD:$DH,5,0)</f>
        <v>#N/A</v>
      </c>
      <c r="AK39" s="290" t="e">
        <f>VLOOKUP(CONCATENATE(form!$C$21,".",form!$J$21),Лист1!$DJ:$DN,5,0)</f>
        <v>#N/A</v>
      </c>
      <c r="AL39" s="290" t="e">
        <f>VLOOKUP(CONCATENATE(form!$C$21,".",form!$D$21,".",form!$K$21),Лист1!$DP:$DT,5,0)</f>
        <v>#N/A</v>
      </c>
      <c r="AM39" s="291"/>
      <c r="AN39" s="290" t="e">
        <f>VLOOKUP(CONCATENATE(form!$C$21,".",form!$L$21),Лист1!$DV:$DZ,5,0)</f>
        <v>#N/A</v>
      </c>
      <c r="AO39" s="290" t="e">
        <f>VLOOKUP(CONCATENATE(form!$C$21,".",form!$M$21),Лист1!$EB:$EF,5,0)</f>
        <v>#N/A</v>
      </c>
      <c r="AP39" s="612"/>
      <c r="AQ39" s="292" t="str">
        <f>IF(ISNA(AR39),"0",AR39)</f>
        <v>0</v>
      </c>
      <c r="AR39" s="623" t="e">
        <f>VLOOKUP(CONCATENATE(form!$C$21,".",form!$G$21),Лист1!$EH:$EL,5,0)</f>
        <v>#N/A</v>
      </c>
      <c r="AS39" s="293" t="e">
        <f t="shared" si="8"/>
        <v>#N/A</v>
      </c>
      <c r="AU39" s="616">
        <f t="shared" si="17"/>
        <v>0</v>
      </c>
      <c r="AV39" s="294">
        <f t="shared" si="18"/>
        <v>0</v>
      </c>
      <c r="AX39" s="294"/>
    </row>
    <row r="40" spans="2:50" s="273" customFormat="1" ht="24.9" customHeight="1" x14ac:dyDescent="0.2">
      <c r="B40" s="376">
        <v>11</v>
      </c>
      <c r="C40" s="565" t="str">
        <f t="shared" si="10"/>
        <v/>
      </c>
      <c r="D40" s="567" t="str">
        <f t="shared" si="11"/>
        <v/>
      </c>
      <c r="E40" s="461" t="str">
        <f>IF(OR(J40=0,J40=""),"",VLOOKUP(R40,Лист1!$M:$O,3,0))</f>
        <v/>
      </c>
      <c r="F40" s="280" t="str">
        <f t="shared" si="12"/>
        <v/>
      </c>
      <c r="G40" s="586" t="str">
        <f t="shared" si="13"/>
        <v/>
      </c>
      <c r="H40" s="281" t="str">
        <f t="shared" si="14"/>
        <v/>
      </c>
      <c r="J40" s="282" t="str">
        <f>form!$DE$21</f>
        <v/>
      </c>
      <c r="L40" s="295" t="str">
        <f>IF(G40="","",CONCATENATE(R40,".",T40,".",S40,".",U40,".",X40,".",Y40))</f>
        <v/>
      </c>
      <c r="M40" s="295" t="str">
        <f>IF(G40="","",CONCATENATE(AA40,", ",AB40,", ",AC40,", ",AD40,", ",AG40,", ",AH40))</f>
        <v/>
      </c>
      <c r="N40" s="295" t="str">
        <f t="shared" si="15"/>
        <v/>
      </c>
      <c r="O40" s="295" t="str">
        <f t="shared" si="16"/>
        <v/>
      </c>
      <c r="Q40" s="296" t="s">
        <v>254</v>
      </c>
      <c r="R40" s="285" t="e">
        <f>VLOOKUP(CONCATENATE(form!$CV$21,".",form!$CW$21),Лист1!$L:$N,2,0)</f>
        <v>#N/A</v>
      </c>
      <c r="S40" s="286" t="e">
        <f>VLOOKUP(CONCATENATE(form!$CV$21,".",form!$CW$21),Лист1!$Q:$S,2,0)</f>
        <v>#N/A</v>
      </c>
      <c r="T40" s="286" t="e">
        <f>VLOOKUP(CONCATENATE(form!$CV$21,".",form!$CX$21,".",form!$CY$21,".",form!$CZ$21),Лист1!$U:$W,2,0)</f>
        <v>#N/A</v>
      </c>
      <c r="U40" s="287" t="e">
        <f>VLOOKUP(form!$DB$21,Лист1!$Y:$AA,2,0)</f>
        <v>#N/A</v>
      </c>
      <c r="V40" s="297"/>
      <c r="W40" s="297"/>
      <c r="X40" s="287" t="e">
        <f>VLOOKUP(form!$DC$21,Лист1!$AK$63:$AM$77,2,0)</f>
        <v>#N/A</v>
      </c>
      <c r="Y40" s="287" t="e">
        <f>VLOOKUP(form!$DD$21,Лист1!$AO$43:$AQ$60,2,0)</f>
        <v>#N/A</v>
      </c>
      <c r="AA40" s="295" t="e">
        <f>VLOOKUP(CONCATENATE(form!$CV$21,".",form!$CW$21),Лист1!$L:$N,3,0)</f>
        <v>#N/A</v>
      </c>
      <c r="AB40" s="295" t="e">
        <f>VLOOKUP(CONCATENATE(form!$CV$21,".",form!$CW$21),Лист1!$Q:$S,3,0)</f>
        <v>#N/A</v>
      </c>
      <c r="AC40" s="295" t="e">
        <f>VLOOKUP(CONCATENATE(form!$CV$21,".",form!$CX$21,".",form!$CY$21,".",form!$CZ$21),Лист1!$U:$W,3,0)</f>
        <v>#N/A</v>
      </c>
      <c r="AD40" s="295" t="e">
        <f>VLOOKUP(form!$DB$21,Лист1!$Y:$AA,3,0)</f>
        <v>#N/A</v>
      </c>
      <c r="AE40" s="298"/>
      <c r="AF40" s="298"/>
      <c r="AG40" s="299" t="e">
        <f>VLOOKUP(form!$DC$21,Лист1!$AK$63:$AM$77,3,0)</f>
        <v>#N/A</v>
      </c>
      <c r="AH40" s="295" t="e">
        <f>VLOOKUP(form!$DD$21,Лист1!$AO$43:$AQ$60,3,0)</f>
        <v>#N/A</v>
      </c>
      <c r="AJ40" s="300" t="e">
        <f>VLOOKUP(CONCATENATE(form!$CV$21,".",form!$CW$21,".",form!$DA$21),Лист1!$DD:$DH,5,0)</f>
        <v>#N/A</v>
      </c>
      <c r="AK40" s="301"/>
      <c r="AL40" s="301"/>
      <c r="AM40" s="301"/>
      <c r="AN40" s="290" t="e">
        <f>VLOOKUP(CONCATENATE(form!$CV$21,".",form!$DC$21),Лист1!$DV:$DZ,5,0)</f>
        <v>#N/A</v>
      </c>
      <c r="AO40" s="301"/>
      <c r="AP40" s="300" t="e">
        <f>VLOOKUP(CONCATENATE(form!$CV$21,".",form!$CW$21,".",form!$DA$21,".",form!$CY$21),Лист1!$EH:$EL,5,0)</f>
        <v>#N/A</v>
      </c>
      <c r="AQ40" s="302"/>
      <c r="AR40" s="302"/>
      <c r="AS40" s="293" t="e">
        <f t="shared" si="8"/>
        <v>#N/A</v>
      </c>
      <c r="AU40" s="616">
        <f t="shared" si="17"/>
        <v>0</v>
      </c>
      <c r="AV40" s="294">
        <f t="shared" si="18"/>
        <v>0</v>
      </c>
      <c r="AX40" s="294"/>
    </row>
    <row r="41" spans="2:50" s="273" customFormat="1" ht="24.9" customHeight="1" x14ac:dyDescent="0.2">
      <c r="B41" s="377"/>
      <c r="C41" s="566" t="str">
        <f t="shared" si="10"/>
        <v/>
      </c>
      <c r="D41" s="568" t="str">
        <f t="shared" si="11"/>
        <v/>
      </c>
      <c r="E41" s="462" t="str">
        <f>IF(OR(J41=0,J41=""),"",VLOOKUP(R41,Лист1!$M:$O,3,0))</f>
        <v/>
      </c>
      <c r="F41" s="303" t="str">
        <f t="shared" si="12"/>
        <v/>
      </c>
      <c r="G41" s="587" t="str">
        <f t="shared" si="13"/>
        <v/>
      </c>
      <c r="H41" s="304" t="str">
        <f t="shared" si="14"/>
        <v/>
      </c>
      <c r="J41" s="282" t="str">
        <f>form!$DL$21</f>
        <v/>
      </c>
      <c r="L41" s="305" t="str">
        <f>IF(G41="","",CONCATENATE(R41,".",T41,".",S41,".",U41))</f>
        <v/>
      </c>
      <c r="M41" s="305" t="str">
        <f>IF(G41="","",CONCATENATE(AA41,", ",AC41,", ",AD41))</f>
        <v/>
      </c>
      <c r="N41" s="305" t="str">
        <f t="shared" si="15"/>
        <v/>
      </c>
      <c r="O41" s="305" t="str">
        <f t="shared" si="16"/>
        <v/>
      </c>
      <c r="Q41" s="306" t="s">
        <v>255</v>
      </c>
      <c r="R41" s="307" t="e">
        <f>VLOOKUP(form!$DG$21,Лист1!$L:$N,2,0)</f>
        <v>#N/A</v>
      </c>
      <c r="S41" s="308" t="e">
        <f>VLOOKUP(form!$DG$21,Лист1!$Q:$S,2,0)</f>
        <v>#N/A</v>
      </c>
      <c r="T41" s="308" t="e">
        <f>VLOOKUP(CONCATENATE(form!$DG$21,".",form!$DI$21),Лист1!$U:$W,2,0)</f>
        <v>#N/A</v>
      </c>
      <c r="U41" s="309" t="e">
        <f>VLOOKUP(form!$DK$21,Лист1!$Y:$AA,2,0)</f>
        <v>#N/A</v>
      </c>
      <c r="V41" s="310"/>
      <c r="W41" s="310"/>
      <c r="X41" s="310"/>
      <c r="Y41" s="310"/>
      <c r="AA41" s="305" t="e">
        <f>VLOOKUP(form!$DG$21,Лист1!$L:$N,3,0)</f>
        <v>#N/A</v>
      </c>
      <c r="AB41" s="310"/>
      <c r="AC41" s="305" t="e">
        <f>VLOOKUP(CONCATENATE(form!$DG$21,".",form!$DI$21),Лист1!$U:$W,3,0)</f>
        <v>#N/A</v>
      </c>
      <c r="AD41" s="305" t="e">
        <f>VLOOKUP(form!$DK$21,Лист1!$Y:$AA,3,0)</f>
        <v>#N/A</v>
      </c>
      <c r="AE41" s="310"/>
      <c r="AF41" s="310"/>
      <c r="AG41" s="310"/>
      <c r="AH41" s="310"/>
      <c r="AJ41" s="311" t="e">
        <f>VLOOKUP(CONCATENATE(form!$DG$21,".",form!$DJ$21),Лист1!$DD:$DH,5,0)</f>
        <v>#N/A</v>
      </c>
      <c r="AK41" s="310"/>
      <c r="AL41" s="310"/>
      <c r="AM41" s="310"/>
      <c r="AN41" s="310"/>
      <c r="AO41" s="310"/>
      <c r="AP41" s="311" t="e">
        <f>VLOOKUP(CONCATENATE(form!$DG$21,".",form!$DJ$21,".",form!$DH$21),Лист1!$EH:$EL,5,0)</f>
        <v>#N/A</v>
      </c>
      <c r="AQ41" s="312"/>
      <c r="AR41" s="312"/>
      <c r="AS41" s="313" t="e">
        <f t="shared" si="8"/>
        <v>#N/A</v>
      </c>
      <c r="AU41" s="617">
        <f t="shared" si="17"/>
        <v>0</v>
      </c>
      <c r="AV41" s="314">
        <f t="shared" si="18"/>
        <v>0</v>
      </c>
      <c r="AX41" s="294"/>
    </row>
    <row r="42" spans="2:50" s="273" customFormat="1" ht="24.9" customHeight="1" x14ac:dyDescent="0.2">
      <c r="B42" s="378"/>
      <c r="C42" s="565" t="str">
        <f t="shared" si="10"/>
        <v/>
      </c>
      <c r="D42" s="567" t="str">
        <f t="shared" si="11"/>
        <v/>
      </c>
      <c r="E42" s="461" t="str">
        <f>IF(OR(J42=0,J42=""),"",VLOOKUP(R42,Лист1!$M:$O,3,0))</f>
        <v/>
      </c>
      <c r="F42" s="280" t="str">
        <f t="shared" si="12"/>
        <v/>
      </c>
      <c r="G42" s="586" t="str">
        <f t="shared" si="13"/>
        <v/>
      </c>
      <c r="H42" s="281" t="str">
        <f t="shared" si="14"/>
        <v/>
      </c>
      <c r="J42" s="282">
        <f>form!$R$22</f>
        <v>0</v>
      </c>
      <c r="L42" s="283" t="str">
        <f>IF(G42="","",CONCATENATE(R42,".",S42,".",T42,".",U42,".",V42,".",W42,".",X42,".",Y42))</f>
        <v/>
      </c>
      <c r="M42" s="283" t="str">
        <f>IF(G42="","",CONCATENATE(AA42,", ",AB42,", ",AC42,", ",AD42,", ",AE42,", ",AF42,", ",AG42,", ",AH42))</f>
        <v/>
      </c>
      <c r="N42" s="283" t="str">
        <f t="shared" si="15"/>
        <v/>
      </c>
      <c r="O42" s="283" t="str">
        <f t="shared" si="16"/>
        <v/>
      </c>
      <c r="Q42" s="284" t="s">
        <v>253</v>
      </c>
      <c r="R42" s="285" t="e">
        <f>VLOOKUP(CONCATENATE(form!$C$22,".",form!$D$22),Лист1!$L:$N,2,0)</f>
        <v>#N/A</v>
      </c>
      <c r="S42" s="286" t="e">
        <f>VLOOKUP(CONCATENATE(form!$C$22,".",form!$D$22),Лист1!$Q:$S,2,0)</f>
        <v>#N/A</v>
      </c>
      <c r="T42" s="286" t="e">
        <f>VLOOKUP(CONCATENATE(form!$E$22,".",form!$F$22,".",form!$G$22),Лист1!$U:$W,2,0)</f>
        <v>#N/A</v>
      </c>
      <c r="U42" s="287" t="e">
        <f>VLOOKUP(form!$I$22,Лист1!$Y:$AA,2,0)</f>
        <v>#N/A</v>
      </c>
      <c r="V42" s="287" t="e">
        <f>VLOOKUP(form!$J$22,Лист1!$AC:$AE,2,0)</f>
        <v>#N/A</v>
      </c>
      <c r="W42" s="287" t="e">
        <f>VLOOKUP(form!$K$22,Лист1!$AG:$AI,2,0)</f>
        <v>#N/A</v>
      </c>
      <c r="X42" s="287" t="e">
        <f>VLOOKUP(CONCATENATE(form!$L$22,".",form!$M$22),Лист1!$AK$14:$AM$59,2,0)</f>
        <v>#N/A</v>
      </c>
      <c r="Y42" s="287" t="e">
        <f>VLOOKUP(CONCATENATE(form!$L$22,".",form!$N$22),Лист1!$AO$13:$AQ$40,2,0)</f>
        <v>#N/A</v>
      </c>
      <c r="AA42" s="288" t="e">
        <f>VLOOKUP(CONCATENATE(form!$C$22,".",form!$D$22),Лист1!$L:$N,3,0)</f>
        <v>#N/A</v>
      </c>
      <c r="AB42" s="288" t="e">
        <f>VLOOKUP(CONCATENATE(form!$C$22,".",form!$D$22),Лист1!$Q:$S,3,0)</f>
        <v>#N/A</v>
      </c>
      <c r="AC42" s="288" t="e">
        <f>VLOOKUP(CONCATENATE(form!$E$22,".",form!$F$22,".",form!$G$22),Лист1!$U:$W,3,0)</f>
        <v>#N/A</v>
      </c>
      <c r="AD42" s="288" t="e">
        <f>VLOOKUP(form!$I$22,Лист1!$Y:$AA,3,0)</f>
        <v>#N/A</v>
      </c>
      <c r="AE42" s="288" t="e">
        <f>VLOOKUP(form!$J$22,Лист1!$AC:$AE,3,0)</f>
        <v>#N/A</v>
      </c>
      <c r="AF42" s="289" t="e">
        <f>VLOOKUP(form!$K$22,Лист1!$AG:$AI,3,0)</f>
        <v>#N/A</v>
      </c>
      <c r="AG42" s="288" t="e">
        <f>VLOOKUP(CONCATENATE(form!$L$22,".",form!$M$22),Лист1!$AK$14:$AM$59,3,0)</f>
        <v>#N/A</v>
      </c>
      <c r="AH42" s="288" t="e">
        <f>VLOOKUP(CONCATENATE(form!$L$22,".",form!$N$22),Лист1!$AO$13:$AQ$40,3,0)</f>
        <v>#N/A</v>
      </c>
      <c r="AJ42" s="290" t="e">
        <f>VLOOKUP(CONCATENATE(form!$C$22,".",form!$D$22,".",form!$H$22),Лист1!$DD:$DH,5,0)</f>
        <v>#N/A</v>
      </c>
      <c r="AK42" s="290" t="e">
        <f>VLOOKUP(CONCATENATE(form!$C$22,".",form!$J$22),Лист1!$DJ:$DN,5,0)</f>
        <v>#N/A</v>
      </c>
      <c r="AL42" s="290" t="e">
        <f>VLOOKUP(CONCATENATE(form!$C$22,".",form!$D$22,".",form!$K$22),Лист1!$DP:$DT,5,0)</f>
        <v>#N/A</v>
      </c>
      <c r="AM42" s="291"/>
      <c r="AN42" s="290" t="e">
        <f>VLOOKUP(CONCATENATE(form!$C$22,".",form!$L$22),Лист1!$DV:$DZ,5,0)</f>
        <v>#N/A</v>
      </c>
      <c r="AO42" s="290" t="e">
        <f>VLOOKUP(CONCATENATE(form!$C$22,".",form!$M$22),Лист1!$EB:$EF,5,0)</f>
        <v>#N/A</v>
      </c>
      <c r="AP42" s="612"/>
      <c r="AQ42" s="292" t="str">
        <f>IF(ISNA(AR42),"0",AR42)</f>
        <v>0</v>
      </c>
      <c r="AR42" s="623" t="e">
        <f>VLOOKUP(CONCATENATE(form!$C$22,".",form!$G$22),Лист1!$EH:$EL,5,0)</f>
        <v>#N/A</v>
      </c>
      <c r="AS42" s="293" t="e">
        <f t="shared" si="8"/>
        <v>#N/A</v>
      </c>
      <c r="AU42" s="616">
        <f t="shared" si="17"/>
        <v>0</v>
      </c>
      <c r="AV42" s="294">
        <f t="shared" si="18"/>
        <v>0</v>
      </c>
      <c r="AX42" s="294"/>
    </row>
    <row r="43" spans="2:50" s="273" customFormat="1" ht="24.9" customHeight="1" x14ac:dyDescent="0.2">
      <c r="B43" s="376">
        <v>12</v>
      </c>
      <c r="C43" s="565" t="str">
        <f t="shared" si="10"/>
        <v/>
      </c>
      <c r="D43" s="567" t="str">
        <f t="shared" si="11"/>
        <v/>
      </c>
      <c r="E43" s="461" t="str">
        <f>IF(OR(J43=0,J43=""),"",VLOOKUP(R43,Лист1!$M:$O,3,0))</f>
        <v/>
      </c>
      <c r="F43" s="280" t="str">
        <f t="shared" si="12"/>
        <v/>
      </c>
      <c r="G43" s="586" t="str">
        <f t="shared" si="13"/>
        <v/>
      </c>
      <c r="H43" s="281" t="str">
        <f t="shared" si="14"/>
        <v/>
      </c>
      <c r="J43" s="282" t="str">
        <f>form!$DE$22</f>
        <v/>
      </c>
      <c r="L43" s="295" t="str">
        <f>IF(G43="","",CONCATENATE(R43,".",T43,".",S43,".",U43,".",X43,".",Y43))</f>
        <v/>
      </c>
      <c r="M43" s="295" t="str">
        <f>IF(G43="","",CONCATENATE(AA43,", ",AB43,", ",AC43,", ",AD43,", ",AG43,", ",AH43))</f>
        <v/>
      </c>
      <c r="N43" s="295" t="str">
        <f t="shared" si="15"/>
        <v/>
      </c>
      <c r="O43" s="295" t="str">
        <f t="shared" si="16"/>
        <v/>
      </c>
      <c r="Q43" s="296" t="s">
        <v>254</v>
      </c>
      <c r="R43" s="285" t="e">
        <f>VLOOKUP(CONCATENATE(form!$CV$22,".",form!$CW$22),Лист1!$L:$N,2,0)</f>
        <v>#N/A</v>
      </c>
      <c r="S43" s="286" t="e">
        <f>VLOOKUP(CONCATENATE(form!$CV$22,".",form!$CW$22),Лист1!$Q:$S,2,0)</f>
        <v>#N/A</v>
      </c>
      <c r="T43" s="286" t="e">
        <f>VLOOKUP(CONCATENATE(form!$CV$22,".",form!$CX$22,".",form!$CY$22,".",form!$CZ$22),Лист1!$U:$W,2,0)</f>
        <v>#N/A</v>
      </c>
      <c r="U43" s="287" t="e">
        <f>VLOOKUP(form!$DB$22,Лист1!$Y:$AA,2,0)</f>
        <v>#N/A</v>
      </c>
      <c r="V43" s="297"/>
      <c r="W43" s="297"/>
      <c r="X43" s="287" t="e">
        <f>VLOOKUP(form!$DC$22,Лист1!$AK$63:$AM$77,2,0)</f>
        <v>#N/A</v>
      </c>
      <c r="Y43" s="287" t="e">
        <f>VLOOKUP(form!$DD$22,Лист1!$AO$43:$AQ$60,2,0)</f>
        <v>#N/A</v>
      </c>
      <c r="AA43" s="295" t="e">
        <f>VLOOKUP(CONCATENATE(form!$CV$22,".",form!$CW$22),Лист1!$L:$N,3,0)</f>
        <v>#N/A</v>
      </c>
      <c r="AB43" s="295" t="e">
        <f>VLOOKUP(CONCATENATE(form!$CV$22,".",form!$CW$22),Лист1!$Q:$S,3,0)</f>
        <v>#N/A</v>
      </c>
      <c r="AC43" s="295" t="e">
        <f>VLOOKUP(CONCATENATE(form!$CV$22,".",form!$CX$22,".",form!$CY$22,".",form!$CZ$22),Лист1!$U:$W,3,0)</f>
        <v>#N/A</v>
      </c>
      <c r="AD43" s="295" t="e">
        <f>VLOOKUP(form!$DB$22,Лист1!$Y:$AA,3,0)</f>
        <v>#N/A</v>
      </c>
      <c r="AE43" s="298"/>
      <c r="AF43" s="298"/>
      <c r="AG43" s="299" t="e">
        <f>VLOOKUP(form!$DC$22,Лист1!$AK$63:$AM$77,3,0)</f>
        <v>#N/A</v>
      </c>
      <c r="AH43" s="295" t="e">
        <f>VLOOKUP(form!$DD$22,Лист1!$AO$43:$AQ$60,3,0)</f>
        <v>#N/A</v>
      </c>
      <c r="AJ43" s="300" t="e">
        <f>VLOOKUP(CONCATENATE(form!$CV$22,".",form!$CW$22,".",form!$DA$22),Лист1!$DD:$DH,5,0)</f>
        <v>#N/A</v>
      </c>
      <c r="AK43" s="301"/>
      <c r="AL43" s="301"/>
      <c r="AM43" s="301"/>
      <c r="AN43" s="290" t="e">
        <f>VLOOKUP(CONCATENATE(form!$CV$22,".",form!$DC$22),Лист1!$DV:$DZ,5,0)</f>
        <v>#N/A</v>
      </c>
      <c r="AO43" s="301"/>
      <c r="AP43" s="300" t="e">
        <f>VLOOKUP(CONCATENATE(form!$CV$22,".",form!$CW$22,".",form!$DA$22,".",form!$CY$22),Лист1!$EH:$EL,5,0)</f>
        <v>#N/A</v>
      </c>
      <c r="AQ43" s="302"/>
      <c r="AR43" s="302"/>
      <c r="AS43" s="293" t="e">
        <f t="shared" si="8"/>
        <v>#N/A</v>
      </c>
      <c r="AU43" s="616">
        <f t="shared" si="17"/>
        <v>0</v>
      </c>
      <c r="AV43" s="294">
        <f t="shared" si="18"/>
        <v>0</v>
      </c>
      <c r="AX43" s="294"/>
    </row>
    <row r="44" spans="2:50" s="273" customFormat="1" ht="24.9" customHeight="1" x14ac:dyDescent="0.2">
      <c r="B44" s="377"/>
      <c r="C44" s="566" t="str">
        <f t="shared" si="10"/>
        <v/>
      </c>
      <c r="D44" s="568" t="str">
        <f t="shared" si="11"/>
        <v/>
      </c>
      <c r="E44" s="462" t="str">
        <f>IF(OR(J44=0,J44=""),"",VLOOKUP(R44,Лист1!$M:$O,3,0))</f>
        <v/>
      </c>
      <c r="F44" s="303" t="str">
        <f t="shared" si="12"/>
        <v/>
      </c>
      <c r="G44" s="587" t="str">
        <f t="shared" si="13"/>
        <v/>
      </c>
      <c r="H44" s="304" t="str">
        <f t="shared" si="14"/>
        <v/>
      </c>
      <c r="J44" s="282" t="str">
        <f>form!$DL$22</f>
        <v/>
      </c>
      <c r="L44" s="305" t="str">
        <f>IF(G44="","",CONCATENATE(R44,".",T44,".",S44,".",U44))</f>
        <v/>
      </c>
      <c r="M44" s="305" t="str">
        <f>IF(G44="","",CONCATENATE(AA44,", ",AC44,", ",AD44))</f>
        <v/>
      </c>
      <c r="N44" s="305" t="str">
        <f t="shared" si="15"/>
        <v/>
      </c>
      <c r="O44" s="305" t="str">
        <f t="shared" si="16"/>
        <v/>
      </c>
      <c r="Q44" s="306" t="s">
        <v>255</v>
      </c>
      <c r="R44" s="307" t="e">
        <f>VLOOKUP(form!$DG$22,Лист1!$L:$N,2,0)</f>
        <v>#N/A</v>
      </c>
      <c r="S44" s="308" t="e">
        <f>VLOOKUP(form!$DG$22,Лист1!$Q:$S,2,0)</f>
        <v>#N/A</v>
      </c>
      <c r="T44" s="308" t="e">
        <f>VLOOKUP(CONCATENATE(form!$DG$22,".",form!$DI$22),Лист1!$U:$W,2,0)</f>
        <v>#N/A</v>
      </c>
      <c r="U44" s="309" t="e">
        <f>VLOOKUP(form!$DK$22,Лист1!$Y:$AA,2,0)</f>
        <v>#N/A</v>
      </c>
      <c r="V44" s="310"/>
      <c r="W44" s="310"/>
      <c r="X44" s="310"/>
      <c r="Y44" s="310"/>
      <c r="AA44" s="305" t="e">
        <f>VLOOKUP(form!$DG$22,Лист1!$L:$N,3,0)</f>
        <v>#N/A</v>
      </c>
      <c r="AB44" s="310"/>
      <c r="AC44" s="305" t="e">
        <f>VLOOKUP(CONCATENATE(form!$DG$22,".",form!$DI$22),Лист1!$U:$W,3,0)</f>
        <v>#N/A</v>
      </c>
      <c r="AD44" s="305" t="e">
        <f>VLOOKUP(form!$DK$22,Лист1!$Y:$AA,3,0)</f>
        <v>#N/A</v>
      </c>
      <c r="AE44" s="310"/>
      <c r="AF44" s="310"/>
      <c r="AG44" s="310"/>
      <c r="AH44" s="310"/>
      <c r="AJ44" s="311" t="e">
        <f>VLOOKUP(CONCATENATE(form!$DG$22,".",form!$DJ$22),Лист1!$DD:$DH,5,0)</f>
        <v>#N/A</v>
      </c>
      <c r="AK44" s="310"/>
      <c r="AL44" s="310"/>
      <c r="AM44" s="310"/>
      <c r="AN44" s="310"/>
      <c r="AO44" s="310"/>
      <c r="AP44" s="311" t="e">
        <f>VLOOKUP(CONCATENATE(form!$DG$22,".",form!$DJ$22,".",form!$DH$22),Лист1!$EH:$EL,5,0)</f>
        <v>#N/A</v>
      </c>
      <c r="AQ44" s="312"/>
      <c r="AR44" s="312"/>
      <c r="AS44" s="313" t="e">
        <f t="shared" si="8"/>
        <v>#N/A</v>
      </c>
      <c r="AU44" s="617">
        <f t="shared" si="17"/>
        <v>0</v>
      </c>
      <c r="AV44" s="314">
        <f t="shared" si="18"/>
        <v>0</v>
      </c>
      <c r="AX44" s="294"/>
    </row>
    <row r="45" spans="2:50" s="273" customFormat="1" ht="24.9" customHeight="1" x14ac:dyDescent="0.2">
      <c r="B45" s="378"/>
      <c r="C45" s="565" t="str">
        <f t="shared" si="10"/>
        <v/>
      </c>
      <c r="D45" s="567" t="str">
        <f t="shared" si="11"/>
        <v/>
      </c>
      <c r="E45" s="461" t="str">
        <f>IF(OR(J45=0,J45=""),"",VLOOKUP(R45,Лист1!$M:$O,3,0))</f>
        <v/>
      </c>
      <c r="F45" s="280" t="str">
        <f t="shared" si="12"/>
        <v/>
      </c>
      <c r="G45" s="586" t="str">
        <f t="shared" si="13"/>
        <v/>
      </c>
      <c r="H45" s="281" t="str">
        <f t="shared" si="14"/>
        <v/>
      </c>
      <c r="J45" s="282">
        <f>form!$R$23</f>
        <v>0</v>
      </c>
      <c r="L45" s="283" t="str">
        <f>IF(G45="","",CONCATENATE(R45,".",S45,".",T45,".",U45,".",V45,".",W45,".",X45,".",Y45))</f>
        <v/>
      </c>
      <c r="M45" s="283" t="str">
        <f>IF(G45="","",CONCATENATE(AA45,", ",AB45,", ",AC45,", ",AD45,", ",AE45,", ",AF45,", ",AG45,", ",AH45))</f>
        <v/>
      </c>
      <c r="N45" s="283" t="str">
        <f t="shared" si="15"/>
        <v/>
      </c>
      <c r="O45" s="283" t="str">
        <f t="shared" si="16"/>
        <v/>
      </c>
      <c r="Q45" s="284" t="s">
        <v>253</v>
      </c>
      <c r="R45" s="285" t="e">
        <f>VLOOKUP(CONCATENATE(form!$C$23,".",form!$D$23),Лист1!$L:$N,2,0)</f>
        <v>#N/A</v>
      </c>
      <c r="S45" s="286" t="e">
        <f>VLOOKUP(CONCATENATE(form!$C$23,".",form!$D$23),Лист1!$Q:$S,2,0)</f>
        <v>#N/A</v>
      </c>
      <c r="T45" s="286" t="e">
        <f>VLOOKUP(CONCATENATE(form!$E$23,".",form!$F$23,".",form!$G$23),Лист1!$U:$W,2,0)</f>
        <v>#N/A</v>
      </c>
      <c r="U45" s="287" t="e">
        <f>VLOOKUP(form!$I$23,Лист1!$Y:$AA,2,0)</f>
        <v>#N/A</v>
      </c>
      <c r="V45" s="287" t="e">
        <f>VLOOKUP(form!$J$23,Лист1!$AC:$AE,2,0)</f>
        <v>#N/A</v>
      </c>
      <c r="W45" s="287" t="e">
        <f>VLOOKUP(form!$K$23,Лист1!$AG:$AI,2,0)</f>
        <v>#N/A</v>
      </c>
      <c r="X45" s="287" t="e">
        <f>VLOOKUP(CONCATENATE(form!$L$23,".",form!$M$23),Лист1!$AK$14:$AM$59,2,0)</f>
        <v>#N/A</v>
      </c>
      <c r="Y45" s="287" t="e">
        <f>VLOOKUP(CONCATENATE(form!$L$23,".",form!$N$23),Лист1!$AO$13:$AQ$40,2,0)</f>
        <v>#N/A</v>
      </c>
      <c r="AA45" s="288" t="e">
        <f>VLOOKUP(CONCATENATE(form!$C$23,".",form!$D$23),Лист1!$L:$N,3,0)</f>
        <v>#N/A</v>
      </c>
      <c r="AB45" s="288" t="e">
        <f>VLOOKUP(CONCATENATE(form!$C$23,".",form!$D$23),Лист1!$Q:$S,3,0)</f>
        <v>#N/A</v>
      </c>
      <c r="AC45" s="288" t="e">
        <f>VLOOKUP(CONCATENATE(form!$E$23,".",form!$F$23,".",form!$G$23),Лист1!$U:$W,3,0)</f>
        <v>#N/A</v>
      </c>
      <c r="AD45" s="288" t="e">
        <f>VLOOKUP(form!$I$23,Лист1!$Y:$AA,3,0)</f>
        <v>#N/A</v>
      </c>
      <c r="AE45" s="288" t="e">
        <f>VLOOKUP(form!$J$23,Лист1!$AC:$AE,3,0)</f>
        <v>#N/A</v>
      </c>
      <c r="AF45" s="289" t="e">
        <f>VLOOKUP(form!$K$23,Лист1!$AG:$AI,3,0)</f>
        <v>#N/A</v>
      </c>
      <c r="AG45" s="288" t="e">
        <f>VLOOKUP(CONCATENATE(form!$L$23,".",form!$M$23),Лист1!$AK$14:$AM$59,3,0)</f>
        <v>#N/A</v>
      </c>
      <c r="AH45" s="288" t="e">
        <f>VLOOKUP(CONCATENATE(form!$L$23,".",form!$N$23),Лист1!$AO$13:$AQ$40,3,0)</f>
        <v>#N/A</v>
      </c>
      <c r="AJ45" s="290" t="e">
        <f>VLOOKUP(CONCATENATE(form!$C$23,".",form!$D$23,".",form!$H$23),Лист1!$DD:$DH,5,0)</f>
        <v>#N/A</v>
      </c>
      <c r="AK45" s="290" t="e">
        <f>VLOOKUP(CONCATENATE(form!$C$23,".",form!$J$23),Лист1!$DJ:$DN,5,0)</f>
        <v>#N/A</v>
      </c>
      <c r="AL45" s="290" t="e">
        <f>VLOOKUP(CONCATENATE(form!$C$23,".",form!$D$23,".",form!$K$23),Лист1!$DP:$DT,5,0)</f>
        <v>#N/A</v>
      </c>
      <c r="AM45" s="291"/>
      <c r="AN45" s="290" t="e">
        <f>VLOOKUP(CONCATENATE(form!$C$23,".",form!$L$23),Лист1!$DV:$DZ,5,0)</f>
        <v>#N/A</v>
      </c>
      <c r="AO45" s="290" t="e">
        <f>VLOOKUP(CONCATENATE(form!$C$23,".",form!$M$23),Лист1!$EB:$EF,5,0)</f>
        <v>#N/A</v>
      </c>
      <c r="AP45" s="612"/>
      <c r="AQ45" s="292" t="str">
        <f>IF(ISNA(AR45),"0",AR45)</f>
        <v>0</v>
      </c>
      <c r="AR45" s="623" t="e">
        <f>VLOOKUP(CONCATENATE(form!$C$23,".",form!$G$23),Лист1!$EH:$EL,5,0)</f>
        <v>#N/A</v>
      </c>
      <c r="AS45" s="293" t="e">
        <f t="shared" si="8"/>
        <v>#N/A</v>
      </c>
      <c r="AU45" s="616">
        <f t="shared" si="17"/>
        <v>0</v>
      </c>
      <c r="AV45" s="294">
        <f t="shared" si="18"/>
        <v>0</v>
      </c>
      <c r="AX45" s="294"/>
    </row>
    <row r="46" spans="2:50" s="273" customFormat="1" ht="24.9" customHeight="1" x14ac:dyDescent="0.2">
      <c r="B46" s="376">
        <v>13</v>
      </c>
      <c r="C46" s="565" t="str">
        <f t="shared" si="10"/>
        <v/>
      </c>
      <c r="D46" s="567" t="str">
        <f t="shared" si="11"/>
        <v/>
      </c>
      <c r="E46" s="461" t="str">
        <f>IF(OR(J46=0,J46=""),"",VLOOKUP(R46,Лист1!$M:$O,3,0))</f>
        <v/>
      </c>
      <c r="F46" s="280" t="str">
        <f t="shared" si="12"/>
        <v/>
      </c>
      <c r="G46" s="586" t="str">
        <f t="shared" si="13"/>
        <v/>
      </c>
      <c r="H46" s="281" t="str">
        <f t="shared" si="14"/>
        <v/>
      </c>
      <c r="J46" s="282" t="str">
        <f>form!$DE$23</f>
        <v/>
      </c>
      <c r="L46" s="295" t="str">
        <f>IF(G46="","",CONCATENATE(R46,".",T46,".",S46,".",U46,".",X46,".",Y46))</f>
        <v/>
      </c>
      <c r="M46" s="295" t="str">
        <f>IF(G46="","",CONCATENATE(AA46,", ",AB46,", ",AC46,", ",AD46,", ",AG46,", ",AH46))</f>
        <v/>
      </c>
      <c r="N46" s="295" t="str">
        <f t="shared" si="15"/>
        <v/>
      </c>
      <c r="O46" s="295" t="str">
        <f t="shared" si="16"/>
        <v/>
      </c>
      <c r="Q46" s="296" t="s">
        <v>254</v>
      </c>
      <c r="R46" s="285" t="e">
        <f>VLOOKUP(CONCATENATE(form!$CV$23,".",form!$CW$23),Лист1!$L:$N,2,0)</f>
        <v>#N/A</v>
      </c>
      <c r="S46" s="286" t="e">
        <f>VLOOKUP(CONCATENATE(form!$CV$23,".",form!$CW$23),Лист1!$Q:$S,2,0)</f>
        <v>#N/A</v>
      </c>
      <c r="T46" s="286" t="e">
        <f>VLOOKUP(CONCATENATE(form!$CV$23,".",form!$CX$23,".",form!$CY$23,".",form!$CZ$23),Лист1!$U:$W,2,0)</f>
        <v>#N/A</v>
      </c>
      <c r="U46" s="287" t="e">
        <f>VLOOKUP(form!$DB$23,Лист1!$Y:$AA,2,0)</f>
        <v>#N/A</v>
      </c>
      <c r="V46" s="297"/>
      <c r="W46" s="297"/>
      <c r="X46" s="287" t="e">
        <f>VLOOKUP(form!$DC$23,Лист1!$AK$63:$AM$77,2,0)</f>
        <v>#N/A</v>
      </c>
      <c r="Y46" s="287" t="e">
        <f>VLOOKUP(form!$DD$23,Лист1!$AO$43:$AQ$60,2,0)</f>
        <v>#N/A</v>
      </c>
      <c r="AA46" s="295" t="e">
        <f>VLOOKUP(CONCATENATE(form!$CV$23,".",form!$CW$23),Лист1!$L:$N,3,0)</f>
        <v>#N/A</v>
      </c>
      <c r="AB46" s="295" t="e">
        <f>VLOOKUP(CONCATENATE(form!$CV$23,".",form!$CW$23),Лист1!$Q:$S,3,0)</f>
        <v>#N/A</v>
      </c>
      <c r="AC46" s="295" t="e">
        <f>VLOOKUP(CONCATENATE(form!$CV$23,".",form!$CX$23,".",form!$CY$23,".",form!$CZ$23),Лист1!$U:$W,3,0)</f>
        <v>#N/A</v>
      </c>
      <c r="AD46" s="295" t="e">
        <f>VLOOKUP(form!$DB$23,Лист1!$Y:$AA,3,0)</f>
        <v>#N/A</v>
      </c>
      <c r="AE46" s="298"/>
      <c r="AF46" s="298"/>
      <c r="AG46" s="299" t="e">
        <f>VLOOKUP(form!$DC$23,Лист1!$AK$63:$AM$77,3,0)</f>
        <v>#N/A</v>
      </c>
      <c r="AH46" s="295" t="e">
        <f>VLOOKUP(form!$DD$23,Лист1!$AO$43:$AQ$60,3,0)</f>
        <v>#N/A</v>
      </c>
      <c r="AJ46" s="300" t="e">
        <f>VLOOKUP(CONCATENATE(form!$CV$23,".",form!$CW$23,".",form!$DA$23),Лист1!$DD:$DH,5,0)</f>
        <v>#N/A</v>
      </c>
      <c r="AK46" s="301"/>
      <c r="AL46" s="301"/>
      <c r="AM46" s="301"/>
      <c r="AN46" s="290" t="e">
        <f>VLOOKUP(CONCATENATE(form!$CV$23,".",form!$DC$23),Лист1!$DV:$DZ,5,0)</f>
        <v>#N/A</v>
      </c>
      <c r="AO46" s="301"/>
      <c r="AP46" s="300" t="e">
        <f>VLOOKUP(CONCATENATE(form!$CV$23,".",form!$CW$23,".",form!$DA$23,".",form!$CY$23),Лист1!$EH:$EL,5,0)</f>
        <v>#N/A</v>
      </c>
      <c r="AQ46" s="302"/>
      <c r="AR46" s="302"/>
      <c r="AS46" s="293" t="e">
        <f t="shared" si="8"/>
        <v>#N/A</v>
      </c>
      <c r="AU46" s="616">
        <f t="shared" si="17"/>
        <v>0</v>
      </c>
      <c r="AV46" s="294">
        <f t="shared" si="18"/>
        <v>0</v>
      </c>
      <c r="AX46" s="294"/>
    </row>
    <row r="47" spans="2:50" s="273" customFormat="1" ht="24.9" customHeight="1" x14ac:dyDescent="0.2">
      <c r="B47" s="377"/>
      <c r="C47" s="566" t="str">
        <f t="shared" si="10"/>
        <v/>
      </c>
      <c r="D47" s="568" t="str">
        <f t="shared" si="11"/>
        <v/>
      </c>
      <c r="E47" s="462" t="str">
        <f>IF(OR(J47=0,J47=""),"",VLOOKUP(R47,Лист1!$M:$O,3,0))</f>
        <v/>
      </c>
      <c r="F47" s="303" t="str">
        <f t="shared" si="12"/>
        <v/>
      </c>
      <c r="G47" s="587" t="str">
        <f t="shared" si="13"/>
        <v/>
      </c>
      <c r="H47" s="304" t="str">
        <f t="shared" si="14"/>
        <v/>
      </c>
      <c r="J47" s="282" t="str">
        <f>form!$DL$23</f>
        <v/>
      </c>
      <c r="L47" s="305" t="str">
        <f>IF(G47="","",CONCATENATE(R47,".",T47,".",S47,".",U47))</f>
        <v/>
      </c>
      <c r="M47" s="305" t="str">
        <f>IF(G47="","",CONCATENATE(AA47,", ",AC47,", ",AD47))</f>
        <v/>
      </c>
      <c r="N47" s="305" t="str">
        <f t="shared" si="15"/>
        <v/>
      </c>
      <c r="O47" s="305" t="str">
        <f t="shared" si="16"/>
        <v/>
      </c>
      <c r="Q47" s="306" t="s">
        <v>255</v>
      </c>
      <c r="R47" s="307" t="e">
        <f>VLOOKUP(form!$DG$23,Лист1!$L:$N,2,0)</f>
        <v>#N/A</v>
      </c>
      <c r="S47" s="308" t="e">
        <f>VLOOKUP(form!$DG$23,Лист1!$Q:$S,2,0)</f>
        <v>#N/A</v>
      </c>
      <c r="T47" s="308" t="e">
        <f>VLOOKUP(CONCATENATE(form!$DG$23,".",form!$DI$23),Лист1!$U:$W,2,0)</f>
        <v>#N/A</v>
      </c>
      <c r="U47" s="309" t="e">
        <f>VLOOKUP(form!$DK$23,Лист1!$Y:$AA,2,0)</f>
        <v>#N/A</v>
      </c>
      <c r="V47" s="310"/>
      <c r="W47" s="310"/>
      <c r="X47" s="310"/>
      <c r="Y47" s="310"/>
      <c r="AA47" s="305" t="e">
        <f>VLOOKUP(form!$DG$23,Лист1!$L:$N,3,0)</f>
        <v>#N/A</v>
      </c>
      <c r="AB47" s="310"/>
      <c r="AC47" s="305" t="e">
        <f>VLOOKUP(CONCATENATE(form!$DG$23,".",form!$DI$23),Лист1!$U:$W,3,0)</f>
        <v>#N/A</v>
      </c>
      <c r="AD47" s="305" t="e">
        <f>VLOOKUP(form!$DK$23,Лист1!$Y:$AA,3,0)</f>
        <v>#N/A</v>
      </c>
      <c r="AE47" s="310"/>
      <c r="AF47" s="310"/>
      <c r="AG47" s="310"/>
      <c r="AH47" s="310"/>
      <c r="AJ47" s="311" t="e">
        <f>VLOOKUP(CONCATENATE(form!$DG$23,".",form!$DJ$23),Лист1!$DD:$DH,5,0)</f>
        <v>#N/A</v>
      </c>
      <c r="AK47" s="310"/>
      <c r="AL47" s="310"/>
      <c r="AM47" s="310"/>
      <c r="AN47" s="310"/>
      <c r="AO47" s="310"/>
      <c r="AP47" s="311" t="e">
        <f>VLOOKUP(CONCATENATE(form!$DG$23,".",form!$DJ$23,".",form!$DH$23),Лист1!$EH:$EL,5,0)</f>
        <v>#N/A</v>
      </c>
      <c r="AQ47" s="312"/>
      <c r="AR47" s="312"/>
      <c r="AS47" s="313" t="e">
        <f t="shared" si="8"/>
        <v>#N/A</v>
      </c>
      <c r="AU47" s="617">
        <f t="shared" si="17"/>
        <v>0</v>
      </c>
      <c r="AV47" s="314">
        <f t="shared" si="18"/>
        <v>0</v>
      </c>
      <c r="AX47" s="294"/>
    </row>
    <row r="48" spans="2:50" s="273" customFormat="1" ht="24.9" customHeight="1" x14ac:dyDescent="0.2">
      <c r="B48" s="378"/>
      <c r="C48" s="565" t="str">
        <f t="shared" si="10"/>
        <v/>
      </c>
      <c r="D48" s="567" t="str">
        <f t="shared" si="11"/>
        <v/>
      </c>
      <c r="E48" s="461" t="str">
        <f>IF(OR(J48=0,J48=""),"",VLOOKUP(R48,Лист1!$M:$O,3,0))</f>
        <v/>
      </c>
      <c r="F48" s="280" t="str">
        <f t="shared" si="12"/>
        <v/>
      </c>
      <c r="G48" s="586" t="str">
        <f t="shared" si="13"/>
        <v/>
      </c>
      <c r="H48" s="281" t="str">
        <f t="shared" si="14"/>
        <v/>
      </c>
      <c r="J48" s="282">
        <f>form!$R$24</f>
        <v>0</v>
      </c>
      <c r="L48" s="283" t="str">
        <f>IF(G48="","",CONCATENATE(R48,".",S48,".",T48,".",U48,".",V48,".",W48,".",X48,".",Y48))</f>
        <v/>
      </c>
      <c r="M48" s="283" t="str">
        <f>IF(G48="","",CONCATENATE(AA48,", ",AB48,", ",AC48,", ",AD48,", ",AE48,", ",AF48,", ",AG48,", ",AH48))</f>
        <v/>
      </c>
      <c r="N48" s="283" t="str">
        <f t="shared" si="15"/>
        <v/>
      </c>
      <c r="O48" s="283" t="str">
        <f t="shared" si="16"/>
        <v/>
      </c>
      <c r="Q48" s="284" t="s">
        <v>253</v>
      </c>
      <c r="R48" s="285" t="e">
        <f>VLOOKUP(CONCATENATE(form!$C$24,".",form!$D$24),Лист1!$L:$N,2,0)</f>
        <v>#N/A</v>
      </c>
      <c r="S48" s="286" t="e">
        <f>VLOOKUP(CONCATENATE(form!$C$24,".",form!$D$24),Лист1!$Q:$S,2,0)</f>
        <v>#N/A</v>
      </c>
      <c r="T48" s="286" t="e">
        <f>VLOOKUP(CONCATENATE(form!$E$24,".",form!$F$24,".",form!$G$24),Лист1!$U:$W,2,0)</f>
        <v>#N/A</v>
      </c>
      <c r="U48" s="287" t="e">
        <f>VLOOKUP(form!$I$24,Лист1!$Y:$AA,2,0)</f>
        <v>#N/A</v>
      </c>
      <c r="V48" s="287" t="e">
        <f>VLOOKUP(form!$J$24,Лист1!$AC:$AE,2,0)</f>
        <v>#N/A</v>
      </c>
      <c r="W48" s="287" t="e">
        <f>VLOOKUP(form!$K$24,Лист1!$AG:$AI,2,0)</f>
        <v>#N/A</v>
      </c>
      <c r="X48" s="287" t="e">
        <f>VLOOKUP(CONCATENATE(form!$L$24,".",form!$M$24),Лист1!$AK$14:$AM$59,2,0)</f>
        <v>#N/A</v>
      </c>
      <c r="Y48" s="287" t="e">
        <f>VLOOKUP(CONCATENATE(form!$L$24,".",form!$N$24),Лист1!$AO$13:$AQ$40,2,0)</f>
        <v>#N/A</v>
      </c>
      <c r="AA48" s="288" t="e">
        <f>VLOOKUP(CONCATENATE(form!$C$24,".",form!$D$24),Лист1!$L:$N,3,0)</f>
        <v>#N/A</v>
      </c>
      <c r="AB48" s="288" t="e">
        <f>VLOOKUP(CONCATENATE(form!$C$24,".",form!$D$24),Лист1!$Q:$S,3,0)</f>
        <v>#N/A</v>
      </c>
      <c r="AC48" s="288" t="e">
        <f>VLOOKUP(CONCATENATE(form!$E$24,".",form!$F$24,".",form!$G$24),Лист1!$U:$W,3,0)</f>
        <v>#N/A</v>
      </c>
      <c r="AD48" s="288" t="e">
        <f>VLOOKUP(form!$I$24,Лист1!$Y:$AA,3,0)</f>
        <v>#N/A</v>
      </c>
      <c r="AE48" s="288" t="e">
        <f>VLOOKUP(form!$J$24,Лист1!$AC:$AE,3,0)</f>
        <v>#N/A</v>
      </c>
      <c r="AF48" s="289" t="e">
        <f>VLOOKUP(form!$K$24,Лист1!$AG:$AI,3,0)</f>
        <v>#N/A</v>
      </c>
      <c r="AG48" s="288" t="e">
        <f>VLOOKUP(CONCATENATE(form!$L$24,".",form!$M$24),Лист1!$AK$14:$AM$59,3,0)</f>
        <v>#N/A</v>
      </c>
      <c r="AH48" s="288" t="e">
        <f>VLOOKUP(CONCATENATE(form!$L$24,".",form!$N$24),Лист1!$AO$13:$AQ$40,3,0)</f>
        <v>#N/A</v>
      </c>
      <c r="AJ48" s="290" t="e">
        <f>VLOOKUP(CONCATENATE(form!$C$24,".",form!$D$24,".",form!$H$24),Лист1!$DD:$DH,5,0)</f>
        <v>#N/A</v>
      </c>
      <c r="AK48" s="290" t="e">
        <f>VLOOKUP(CONCATENATE(form!$C$24,".",form!$J$24),Лист1!$DJ:$DN,5,0)</f>
        <v>#N/A</v>
      </c>
      <c r="AL48" s="290" t="e">
        <f>VLOOKUP(CONCATENATE(form!$C$24,".",form!$D$24,".",form!$K$24),Лист1!$DP:$DT,5,0)</f>
        <v>#N/A</v>
      </c>
      <c r="AM48" s="291"/>
      <c r="AN48" s="290" t="e">
        <f>VLOOKUP(CONCATENATE(form!$C$24,".",form!$L$24),Лист1!$DV:$DZ,5,0)</f>
        <v>#N/A</v>
      </c>
      <c r="AO48" s="290" t="e">
        <f>VLOOKUP(CONCATENATE(form!$C$24,".",form!$M$24),Лист1!$EB:$EF,5,0)</f>
        <v>#N/A</v>
      </c>
      <c r="AP48" s="612"/>
      <c r="AQ48" s="292" t="str">
        <f>IF(ISNA(AR48),"0",AR48)</f>
        <v>0</v>
      </c>
      <c r="AR48" s="623" t="e">
        <f>VLOOKUP(CONCATENATE(form!$C$24,".",form!$G$24),Лист1!$EH:$EL,5,0)</f>
        <v>#N/A</v>
      </c>
      <c r="AS48" s="293" t="e">
        <f t="shared" si="8"/>
        <v>#N/A</v>
      </c>
      <c r="AU48" s="616">
        <f t="shared" si="17"/>
        <v>0</v>
      </c>
      <c r="AV48" s="294">
        <f t="shared" si="18"/>
        <v>0</v>
      </c>
      <c r="AX48" s="294"/>
    </row>
    <row r="49" spans="2:50" s="273" customFormat="1" ht="24.9" customHeight="1" x14ac:dyDescent="0.2">
      <c r="B49" s="376">
        <v>14</v>
      </c>
      <c r="C49" s="565" t="str">
        <f t="shared" si="10"/>
        <v/>
      </c>
      <c r="D49" s="567" t="str">
        <f t="shared" si="11"/>
        <v/>
      </c>
      <c r="E49" s="461" t="str">
        <f>IF(OR(J49=0,J49=""),"",VLOOKUP(R49,Лист1!$M:$O,3,0))</f>
        <v/>
      </c>
      <c r="F49" s="280" t="str">
        <f t="shared" si="12"/>
        <v/>
      </c>
      <c r="G49" s="586" t="str">
        <f t="shared" si="13"/>
        <v/>
      </c>
      <c r="H49" s="281" t="str">
        <f t="shared" si="14"/>
        <v/>
      </c>
      <c r="J49" s="282" t="str">
        <f>form!$DE$24</f>
        <v/>
      </c>
      <c r="L49" s="295" t="str">
        <f>IF(G49="","",CONCATENATE(R49,".",T49,".",S49,".",U49,".",X49,".",Y49))</f>
        <v/>
      </c>
      <c r="M49" s="295" t="str">
        <f>IF(G49="","",CONCATENATE(AA49,", ",AB49,", ",AC49,", ",AD49,", ",AG49,", ",AH49))</f>
        <v/>
      </c>
      <c r="N49" s="295" t="str">
        <f t="shared" si="15"/>
        <v/>
      </c>
      <c r="O49" s="295" t="str">
        <f t="shared" si="16"/>
        <v/>
      </c>
      <c r="Q49" s="296" t="s">
        <v>254</v>
      </c>
      <c r="R49" s="285" t="e">
        <f>VLOOKUP(CONCATENATE(form!$CV$24,".",form!$CW$24),Лист1!$L:$N,2,0)</f>
        <v>#N/A</v>
      </c>
      <c r="S49" s="286" t="e">
        <f>VLOOKUP(CONCATENATE(form!$CV$24,".",form!$CW$24),Лист1!$Q:$S,2,0)</f>
        <v>#N/A</v>
      </c>
      <c r="T49" s="286" t="e">
        <f>VLOOKUP(CONCATENATE(form!$CV$24,".",form!$CX$24,".",form!$CY$24,".",form!$CZ$24),Лист1!$U:$W,2,0)</f>
        <v>#N/A</v>
      </c>
      <c r="U49" s="287" t="e">
        <f>VLOOKUP(form!$DB$24,Лист1!$Y:$AA,2,0)</f>
        <v>#N/A</v>
      </c>
      <c r="V49" s="297"/>
      <c r="W49" s="297"/>
      <c r="X49" s="287" t="e">
        <f>VLOOKUP(form!$DC$24,Лист1!$AK$63:$AM$77,2,0)</f>
        <v>#N/A</v>
      </c>
      <c r="Y49" s="287" t="e">
        <f>VLOOKUP(form!$DD$24,Лист1!$AO$43:$AQ$60,2,0)</f>
        <v>#N/A</v>
      </c>
      <c r="AA49" s="295" t="e">
        <f>VLOOKUP(CONCATENATE(form!$CV$24,".",form!$CW$24),Лист1!$L:$N,3,0)</f>
        <v>#N/A</v>
      </c>
      <c r="AB49" s="295" t="e">
        <f>VLOOKUP(CONCATENATE(form!$CV$24,".",form!$CW$24),Лист1!$Q:$S,3,0)</f>
        <v>#N/A</v>
      </c>
      <c r="AC49" s="295" t="e">
        <f>VLOOKUP(CONCATENATE(form!$CV$24,".",form!$CX$24,".",form!$CY$24,".",form!$CZ$24),Лист1!$U:$W,3,0)</f>
        <v>#N/A</v>
      </c>
      <c r="AD49" s="295" t="e">
        <f>VLOOKUP(form!$DB$24,Лист1!$Y:$AA,3,0)</f>
        <v>#N/A</v>
      </c>
      <c r="AE49" s="298"/>
      <c r="AF49" s="298"/>
      <c r="AG49" s="299" t="e">
        <f>VLOOKUP(form!$DC$24,Лист1!$AK$63:$AM$77,3,0)</f>
        <v>#N/A</v>
      </c>
      <c r="AH49" s="295" t="e">
        <f>VLOOKUP(form!$DD$24,Лист1!$AO$43:$AQ$60,3,0)</f>
        <v>#N/A</v>
      </c>
      <c r="AJ49" s="300" t="e">
        <f>VLOOKUP(CONCATENATE(form!$CV$24,".",form!$CW$24,".",form!$DA$24),Лист1!$DD:$DH,5,0)</f>
        <v>#N/A</v>
      </c>
      <c r="AK49" s="301"/>
      <c r="AL49" s="301"/>
      <c r="AM49" s="301"/>
      <c r="AN49" s="290" t="e">
        <f>VLOOKUP(CONCATENATE(form!$CV$24,".",form!$DC$24),Лист1!$DV:$DZ,5,0)</f>
        <v>#N/A</v>
      </c>
      <c r="AO49" s="301"/>
      <c r="AP49" s="300" t="e">
        <f>VLOOKUP(CONCATENATE(form!$CV$24,".",form!$CW$24,".",form!$DA$24,".",form!$CY$24),Лист1!$EH:$EL,5,0)</f>
        <v>#N/A</v>
      </c>
      <c r="AQ49" s="302"/>
      <c r="AR49" s="302"/>
      <c r="AS49" s="293" t="e">
        <f t="shared" si="8"/>
        <v>#N/A</v>
      </c>
      <c r="AU49" s="616">
        <f t="shared" si="17"/>
        <v>0</v>
      </c>
      <c r="AV49" s="294">
        <f t="shared" si="18"/>
        <v>0</v>
      </c>
      <c r="AX49" s="294"/>
    </row>
    <row r="50" spans="2:50" s="273" customFormat="1" ht="24.9" customHeight="1" x14ac:dyDescent="0.2">
      <c r="B50" s="377"/>
      <c r="C50" s="566" t="str">
        <f t="shared" si="10"/>
        <v/>
      </c>
      <c r="D50" s="568" t="str">
        <f t="shared" si="11"/>
        <v/>
      </c>
      <c r="E50" s="462" t="str">
        <f>IF(OR(J50=0,J50=""),"",VLOOKUP(R50,Лист1!$M:$O,3,0))</f>
        <v/>
      </c>
      <c r="F50" s="303" t="str">
        <f t="shared" si="12"/>
        <v/>
      </c>
      <c r="G50" s="587" t="str">
        <f t="shared" si="13"/>
        <v/>
      </c>
      <c r="H50" s="304" t="str">
        <f t="shared" si="14"/>
        <v/>
      </c>
      <c r="J50" s="282" t="str">
        <f>form!$DL$24</f>
        <v/>
      </c>
      <c r="L50" s="305" t="str">
        <f>IF(G50="","",CONCATENATE(R50,".",T50,".",S50,".",U50))</f>
        <v/>
      </c>
      <c r="M50" s="305" t="str">
        <f>IF(G50="","",CONCATENATE(AA50,", ",AC50,", ",AD50))</f>
        <v/>
      </c>
      <c r="N50" s="305" t="str">
        <f t="shared" si="15"/>
        <v/>
      </c>
      <c r="O50" s="305" t="str">
        <f t="shared" si="16"/>
        <v/>
      </c>
      <c r="Q50" s="306" t="s">
        <v>255</v>
      </c>
      <c r="R50" s="307" t="e">
        <f>VLOOKUP(form!$DG$24,Лист1!$L:$N,2,0)</f>
        <v>#N/A</v>
      </c>
      <c r="S50" s="308" t="e">
        <f>VLOOKUP(form!$DG$24,Лист1!$Q:$S,2,0)</f>
        <v>#N/A</v>
      </c>
      <c r="T50" s="308" t="e">
        <f>VLOOKUP(CONCATENATE(form!$DG$24,".",form!$DI$24),Лист1!$U:$W,2,0)</f>
        <v>#N/A</v>
      </c>
      <c r="U50" s="309" t="e">
        <f>VLOOKUP(form!$DK$24,Лист1!$Y:$AA,2,0)</f>
        <v>#N/A</v>
      </c>
      <c r="V50" s="310"/>
      <c r="W50" s="310"/>
      <c r="X50" s="310"/>
      <c r="Y50" s="310"/>
      <c r="AA50" s="305" t="e">
        <f>VLOOKUP(form!$DG$24,Лист1!$L:$N,3,0)</f>
        <v>#N/A</v>
      </c>
      <c r="AB50" s="310"/>
      <c r="AC50" s="305" t="e">
        <f>VLOOKUP(CONCATENATE(form!$DG$24,".",form!$DI$24),Лист1!$U:$W,3,0)</f>
        <v>#N/A</v>
      </c>
      <c r="AD50" s="305" t="e">
        <f>VLOOKUP(form!$DK$24,Лист1!$Y:$AA,3,0)</f>
        <v>#N/A</v>
      </c>
      <c r="AE50" s="310"/>
      <c r="AF50" s="310"/>
      <c r="AG50" s="310"/>
      <c r="AH50" s="310"/>
      <c r="AJ50" s="311" t="e">
        <f>VLOOKUP(CONCATENATE(form!$DG$24,".",form!$DJ$24),Лист1!$DD:$DH,5,0)</f>
        <v>#N/A</v>
      </c>
      <c r="AK50" s="310"/>
      <c r="AL50" s="310"/>
      <c r="AM50" s="310"/>
      <c r="AN50" s="310"/>
      <c r="AO50" s="310"/>
      <c r="AP50" s="311" t="e">
        <f>VLOOKUP(CONCATENATE(form!$DG$24,".",form!$DJ$24,".",form!$DH$24),Лист1!$EH:$EL,5,0)</f>
        <v>#N/A</v>
      </c>
      <c r="AQ50" s="312"/>
      <c r="AR50" s="312"/>
      <c r="AS50" s="313" t="e">
        <f t="shared" si="8"/>
        <v>#N/A</v>
      </c>
      <c r="AU50" s="617">
        <f t="shared" si="17"/>
        <v>0</v>
      </c>
      <c r="AV50" s="314">
        <f t="shared" si="18"/>
        <v>0</v>
      </c>
      <c r="AX50" s="294"/>
    </row>
    <row r="51" spans="2:50" s="273" customFormat="1" ht="24.9" customHeight="1" x14ac:dyDescent="0.2">
      <c r="B51" s="378"/>
      <c r="C51" s="565" t="str">
        <f t="shared" si="10"/>
        <v/>
      </c>
      <c r="D51" s="567" t="str">
        <f t="shared" si="11"/>
        <v/>
      </c>
      <c r="E51" s="461" t="str">
        <f>IF(OR(J51=0,J51=""),"",VLOOKUP(R51,Лист1!$M:$O,3,0))</f>
        <v/>
      </c>
      <c r="F51" s="280" t="str">
        <f t="shared" si="12"/>
        <v/>
      </c>
      <c r="G51" s="586" t="str">
        <f t="shared" si="13"/>
        <v/>
      </c>
      <c r="H51" s="281" t="str">
        <f t="shared" si="14"/>
        <v/>
      </c>
      <c r="J51" s="282">
        <f>form!$R$25</f>
        <v>0</v>
      </c>
      <c r="L51" s="283" t="str">
        <f>IF(G51="","",CONCATENATE(R51,".",S51,".",T51,".",U51,".",V51,".",W51,".",X51,".",Y51))</f>
        <v/>
      </c>
      <c r="M51" s="283" t="str">
        <f>IF(G51="","",CONCATENATE(AA51,", ",AB51,", ",AC51,", ",AD51,", ",AE51,", ",AF51,", ",AG51,", ",AH51))</f>
        <v/>
      </c>
      <c r="N51" s="283" t="str">
        <f t="shared" si="15"/>
        <v/>
      </c>
      <c r="O51" s="283" t="str">
        <f t="shared" si="16"/>
        <v/>
      </c>
      <c r="Q51" s="284" t="s">
        <v>253</v>
      </c>
      <c r="R51" s="285" t="e">
        <f>VLOOKUP(CONCATENATE(form!$C$25,".",form!$D$25),Лист1!$L:$N,2,0)</f>
        <v>#N/A</v>
      </c>
      <c r="S51" s="286" t="e">
        <f>VLOOKUP(CONCATENATE(form!$C$25,".",form!$D$25),Лист1!$Q:$S,2,0)</f>
        <v>#N/A</v>
      </c>
      <c r="T51" s="286" t="e">
        <f>VLOOKUP(CONCATENATE(form!$E$25,".",form!$F$25,".",form!$G$25),Лист1!$U:$W,2,0)</f>
        <v>#N/A</v>
      </c>
      <c r="U51" s="287" t="e">
        <f>VLOOKUP(form!$I$25,Лист1!$Y:$AA,2,0)</f>
        <v>#N/A</v>
      </c>
      <c r="V51" s="287" t="e">
        <f>VLOOKUP(form!$J$25,Лист1!$AC:$AE,2,0)</f>
        <v>#N/A</v>
      </c>
      <c r="W51" s="287" t="e">
        <f>VLOOKUP(form!$K$25,Лист1!$AG:$AI,2,0)</f>
        <v>#N/A</v>
      </c>
      <c r="X51" s="287" t="e">
        <f>VLOOKUP(CONCATENATE(form!$L$25,".",form!$M$25),Лист1!$AK$14:$AM$59,2,0)</f>
        <v>#N/A</v>
      </c>
      <c r="Y51" s="287" t="e">
        <f>VLOOKUP(CONCATENATE(form!$L$25,".",form!$N$25),Лист1!$AO$13:$AQ$40,2,0)</f>
        <v>#N/A</v>
      </c>
      <c r="AA51" s="288" t="e">
        <f>VLOOKUP(CONCATENATE(form!$C$25,".",form!$D$25),Лист1!$L:$N,3,0)</f>
        <v>#N/A</v>
      </c>
      <c r="AB51" s="288" t="e">
        <f>VLOOKUP(CONCATENATE(form!$C$25,".",form!$D$25),Лист1!$Q:$S,3,0)</f>
        <v>#N/A</v>
      </c>
      <c r="AC51" s="288" t="e">
        <f>VLOOKUP(CONCATENATE(form!$E$25,".",form!$F$25,".",form!$G$25),Лист1!$U:$W,3,0)</f>
        <v>#N/A</v>
      </c>
      <c r="AD51" s="288" t="e">
        <f>VLOOKUP(form!$I$25,Лист1!$Y:$AA,3,0)</f>
        <v>#N/A</v>
      </c>
      <c r="AE51" s="288" t="e">
        <f>VLOOKUP(form!$J$25,Лист1!$AC:$AE,3,0)</f>
        <v>#N/A</v>
      </c>
      <c r="AF51" s="289" t="e">
        <f>VLOOKUP(form!$K$25,Лист1!$AG:$AI,3,0)</f>
        <v>#N/A</v>
      </c>
      <c r="AG51" s="288" t="e">
        <f>VLOOKUP(CONCATENATE(form!$L$25,".",form!$M$25),Лист1!$AK$14:$AM$59,3,0)</f>
        <v>#N/A</v>
      </c>
      <c r="AH51" s="288" t="e">
        <f>VLOOKUP(CONCATENATE(form!$L$25,".",form!$N$25),Лист1!$AO$13:$AQ$40,3,0)</f>
        <v>#N/A</v>
      </c>
      <c r="AJ51" s="290" t="e">
        <f>VLOOKUP(CONCATENATE(form!$C$25,".",form!$D$25,".",form!$H$25),Лист1!$DD:$DH,5,0)</f>
        <v>#N/A</v>
      </c>
      <c r="AK51" s="290" t="e">
        <f>VLOOKUP(CONCATENATE(form!$C$25,".",form!$J$25),Лист1!$DJ:$DN,5,0)</f>
        <v>#N/A</v>
      </c>
      <c r="AL51" s="290" t="e">
        <f>VLOOKUP(CONCATENATE(form!$C$25,".",form!$D$25,".",form!$K$25),Лист1!$DP:$DT,5,0)</f>
        <v>#N/A</v>
      </c>
      <c r="AM51" s="291"/>
      <c r="AN51" s="290" t="e">
        <f>VLOOKUP(CONCATENATE(form!$C$25,".",form!$L$25),Лист1!$DV:$DZ,5,0)</f>
        <v>#N/A</v>
      </c>
      <c r="AO51" s="290" t="e">
        <f>VLOOKUP(CONCATENATE(form!$C$25,".",form!$M$25),Лист1!$EB:$EF,5,0)</f>
        <v>#N/A</v>
      </c>
      <c r="AP51" s="612"/>
      <c r="AQ51" s="292" t="str">
        <f>IF(ISNA(AR51),"0",AR51)</f>
        <v>0</v>
      </c>
      <c r="AR51" s="623" t="e">
        <f>VLOOKUP(CONCATENATE(form!$C$25,".",form!$G$25),Лист1!$EH:$EL,5,0)</f>
        <v>#N/A</v>
      </c>
      <c r="AS51" s="293" t="e">
        <f t="shared" si="8"/>
        <v>#N/A</v>
      </c>
      <c r="AU51" s="616">
        <f t="shared" si="17"/>
        <v>0</v>
      </c>
      <c r="AV51" s="294">
        <f t="shared" si="18"/>
        <v>0</v>
      </c>
      <c r="AX51" s="294"/>
    </row>
    <row r="52" spans="2:50" s="273" customFormat="1" ht="24.9" customHeight="1" x14ac:dyDescent="0.2">
      <c r="B52" s="376">
        <v>15</v>
      </c>
      <c r="C52" s="565" t="str">
        <f t="shared" si="10"/>
        <v/>
      </c>
      <c r="D52" s="567" t="str">
        <f t="shared" si="11"/>
        <v/>
      </c>
      <c r="E52" s="461" t="str">
        <f>IF(OR(J52=0,J52=""),"",VLOOKUP(R52,Лист1!$M:$O,3,0))</f>
        <v/>
      </c>
      <c r="F52" s="280" t="str">
        <f t="shared" si="12"/>
        <v/>
      </c>
      <c r="G52" s="586" t="str">
        <f t="shared" si="13"/>
        <v/>
      </c>
      <c r="H52" s="281" t="str">
        <f t="shared" si="14"/>
        <v/>
      </c>
      <c r="J52" s="282" t="str">
        <f>form!$DE$25</f>
        <v/>
      </c>
      <c r="L52" s="295" t="str">
        <f>IF(G52="","",CONCATENATE(R52,".",T52,".",S52,".",U52,".",X52,".",Y52))</f>
        <v/>
      </c>
      <c r="M52" s="295" t="str">
        <f>IF(G52="","",CONCATENATE(AA52,", ",AB52,", ",AC52,", ",AD52,", ",AG52,", ",AH52))</f>
        <v/>
      </c>
      <c r="N52" s="295" t="str">
        <f t="shared" si="15"/>
        <v/>
      </c>
      <c r="O52" s="295" t="str">
        <f t="shared" si="16"/>
        <v/>
      </c>
      <c r="Q52" s="296" t="s">
        <v>254</v>
      </c>
      <c r="R52" s="285" t="e">
        <f>VLOOKUP(CONCATENATE(form!$CV$25,".",form!$CW$25),Лист1!$L:$N,2,0)</f>
        <v>#N/A</v>
      </c>
      <c r="S52" s="286" t="e">
        <f>VLOOKUP(CONCATENATE(form!$CV$25,".",form!$CW$25),Лист1!$Q:$S,2,0)</f>
        <v>#N/A</v>
      </c>
      <c r="T52" s="286" t="e">
        <f>VLOOKUP(CONCATENATE(form!$CV$25,".",form!$CX$25,".",form!$CY$25,".",form!$CZ$25),Лист1!$U:$W,2,0)</f>
        <v>#N/A</v>
      </c>
      <c r="U52" s="287" t="e">
        <f>VLOOKUP(form!$DB$25,Лист1!$Y:$AA,2,0)</f>
        <v>#N/A</v>
      </c>
      <c r="V52" s="297"/>
      <c r="W52" s="297"/>
      <c r="X52" s="287" t="e">
        <f>VLOOKUP(form!$DC$25,Лист1!$AK$63:$AM$77,2,0)</f>
        <v>#N/A</v>
      </c>
      <c r="Y52" s="287" t="e">
        <f>VLOOKUP(form!$DD$25,Лист1!$AO$43:$AQ$60,2,0)</f>
        <v>#N/A</v>
      </c>
      <c r="AA52" s="295" t="e">
        <f>VLOOKUP(CONCATENATE(form!$CV$25,".",form!$CW$25),Лист1!$L:$N,3,0)</f>
        <v>#N/A</v>
      </c>
      <c r="AB52" s="295" t="e">
        <f>VLOOKUP(CONCATENATE(form!$CV$25,".",form!$CW$25),Лист1!$Q:$S,3,0)</f>
        <v>#N/A</v>
      </c>
      <c r="AC52" s="295" t="e">
        <f>VLOOKUP(CONCATENATE(form!$CV$25,".",form!$CX$25,".",form!$CY$25,".",form!$CZ$25),Лист1!$U:$W,3,0)</f>
        <v>#N/A</v>
      </c>
      <c r="AD52" s="295" t="e">
        <f>VLOOKUP(form!$DB$25,Лист1!$Y:$AA,3,0)</f>
        <v>#N/A</v>
      </c>
      <c r="AE52" s="298"/>
      <c r="AF52" s="298"/>
      <c r="AG52" s="299" t="e">
        <f>VLOOKUP(form!$DC$25,Лист1!$AK$63:$AM$77,3,0)</f>
        <v>#N/A</v>
      </c>
      <c r="AH52" s="295" t="e">
        <f>VLOOKUP(form!$DD$25,Лист1!$AO$43:$AQ$60,3,0)</f>
        <v>#N/A</v>
      </c>
      <c r="AJ52" s="300" t="e">
        <f>VLOOKUP(CONCATENATE(form!$CV$25,".",form!$CW$25,".",form!$DA$25),Лист1!$DD:$DH,5,0)</f>
        <v>#N/A</v>
      </c>
      <c r="AK52" s="301"/>
      <c r="AL52" s="301"/>
      <c r="AM52" s="301"/>
      <c r="AN52" s="290" t="e">
        <f>VLOOKUP(CONCATENATE(form!$CV$25,".",form!$DC$25),Лист1!$DV:$DZ,5,0)</f>
        <v>#N/A</v>
      </c>
      <c r="AO52" s="301"/>
      <c r="AP52" s="300" t="e">
        <f>VLOOKUP(CONCATENATE(form!$CV$25,".",form!$CW$25,".",form!$DA$25,".",form!$CY$25),Лист1!$EH:$EL,5,0)</f>
        <v>#N/A</v>
      </c>
      <c r="AQ52" s="302"/>
      <c r="AR52" s="302"/>
      <c r="AS52" s="293" t="e">
        <f t="shared" si="8"/>
        <v>#N/A</v>
      </c>
      <c r="AU52" s="616">
        <f t="shared" si="17"/>
        <v>0</v>
      </c>
      <c r="AV52" s="294">
        <f t="shared" si="18"/>
        <v>0</v>
      </c>
      <c r="AX52" s="294"/>
    </row>
    <row r="53" spans="2:50" s="273" customFormat="1" ht="24.9" customHeight="1" x14ac:dyDescent="0.2">
      <c r="B53" s="379"/>
      <c r="C53" s="566" t="str">
        <f t="shared" si="10"/>
        <v/>
      </c>
      <c r="D53" s="568" t="str">
        <f t="shared" si="11"/>
        <v/>
      </c>
      <c r="E53" s="462" t="str">
        <f>IF(OR(J53=0,J53=""),"",VLOOKUP(R53,Лист1!$M:$O,3,0))</f>
        <v/>
      </c>
      <c r="F53" s="303" t="str">
        <f t="shared" si="12"/>
        <v/>
      </c>
      <c r="G53" s="587" t="str">
        <f t="shared" si="13"/>
        <v/>
      </c>
      <c r="H53" s="304" t="str">
        <f t="shared" si="14"/>
        <v/>
      </c>
      <c r="J53" s="282" t="str">
        <f>form!$DL$25</f>
        <v/>
      </c>
      <c r="L53" s="305" t="str">
        <f>IF(G53="","",CONCATENATE(R53,".",T53,".",S53,".",U53))</f>
        <v/>
      </c>
      <c r="M53" s="305" t="str">
        <f>IF(G53="","",CONCATENATE(AA53,", ",AC53,", ",AD53))</f>
        <v/>
      </c>
      <c r="N53" s="305" t="str">
        <f t="shared" si="15"/>
        <v/>
      </c>
      <c r="O53" s="305" t="str">
        <f t="shared" si="16"/>
        <v/>
      </c>
      <c r="Q53" s="315" t="s">
        <v>255</v>
      </c>
      <c r="R53" s="316" t="e">
        <f>VLOOKUP(form!$DG$25,Лист1!$L:$N,2,0)</f>
        <v>#N/A</v>
      </c>
      <c r="S53" s="317" t="e">
        <f>VLOOKUP(form!$DG$25,Лист1!$Q:$S,2,0)</f>
        <v>#N/A</v>
      </c>
      <c r="T53" s="317" t="e">
        <f>VLOOKUP(CONCATENATE(form!$DG$25,".",form!$DI$25),Лист1!$U:$W,2,0)</f>
        <v>#N/A</v>
      </c>
      <c r="U53" s="318" t="e">
        <f>VLOOKUP(form!$DK$25,Лист1!$Y:$AA,2,0)</f>
        <v>#N/A</v>
      </c>
      <c r="V53" s="319"/>
      <c r="W53" s="319"/>
      <c r="X53" s="319"/>
      <c r="Y53" s="319"/>
      <c r="AA53" s="320" t="e">
        <f>VLOOKUP(form!$DG$25,Лист1!$L:$N,3,0)</f>
        <v>#N/A</v>
      </c>
      <c r="AB53" s="319"/>
      <c r="AC53" s="320" t="e">
        <f>VLOOKUP(CONCATENATE(form!$DG$25,".",form!$DI$25),Лист1!$U:$W,3,0)</f>
        <v>#N/A</v>
      </c>
      <c r="AD53" s="320" t="e">
        <f>VLOOKUP(form!$DK$25,Лист1!$Y:$AA,3,0)</f>
        <v>#N/A</v>
      </c>
      <c r="AE53" s="319"/>
      <c r="AF53" s="319"/>
      <c r="AG53" s="319"/>
      <c r="AH53" s="319"/>
      <c r="AJ53" s="321" t="e">
        <f>VLOOKUP(CONCATENATE(form!$DG$25,".",form!$DJ$25),Лист1!$DD:$DH,5,0)</f>
        <v>#N/A</v>
      </c>
      <c r="AK53" s="319"/>
      <c r="AL53" s="319"/>
      <c r="AM53" s="319"/>
      <c r="AN53" s="319"/>
      <c r="AO53" s="319"/>
      <c r="AP53" s="321" t="e">
        <f>VLOOKUP(CONCATENATE(form!$DG$25,".",form!$DJ$25,".",form!$DH$25),Лист1!$EH:$EL,5,0)</f>
        <v>#N/A</v>
      </c>
      <c r="AQ53" s="322"/>
      <c r="AR53" s="322"/>
      <c r="AS53" s="323" t="e">
        <f t="shared" si="8"/>
        <v>#N/A</v>
      </c>
      <c r="AU53" s="618">
        <f t="shared" si="17"/>
        <v>0</v>
      </c>
      <c r="AV53" s="324">
        <f t="shared" si="18"/>
        <v>0</v>
      </c>
      <c r="AX53" s="294"/>
    </row>
    <row r="54" spans="2:50" s="273" customFormat="1" ht="24.9" customHeight="1" x14ac:dyDescent="0.25">
      <c r="B54" s="569" t="str">
        <f>form!B27</f>
        <v>Розділ № 2: ДВЕРНІ ПОЛОТНА</v>
      </c>
      <c r="C54" s="268"/>
      <c r="D54" s="463"/>
      <c r="E54" s="464"/>
      <c r="F54" s="271" t="str">
        <f>IF(H54="","","ИТОГО:")</f>
        <v/>
      </c>
      <c r="G54" s="585" t="str">
        <f>IF(J54=0,"",SUM(G55:G69))</f>
        <v/>
      </c>
      <c r="H54" s="272" t="str">
        <f>IF(J54=0,"",SUM(H55:H69))</f>
        <v/>
      </c>
      <c r="J54" s="325">
        <f>SUM(J55:J69)</f>
        <v>0</v>
      </c>
      <c r="L54" s="326"/>
      <c r="M54" s="326"/>
      <c r="N54" s="326"/>
      <c r="O54" s="326"/>
      <c r="Q54" s="276"/>
      <c r="R54" s="277" t="s">
        <v>143</v>
      </c>
      <c r="S54" s="277" t="s">
        <v>142</v>
      </c>
      <c r="T54" s="277" t="s">
        <v>137</v>
      </c>
      <c r="U54" s="277" t="s">
        <v>141</v>
      </c>
      <c r="V54" s="277" t="s">
        <v>76</v>
      </c>
      <c r="W54" s="277" t="s">
        <v>78</v>
      </c>
      <c r="X54" s="277" t="s">
        <v>145</v>
      </c>
      <c r="Y54" s="277" t="s">
        <v>146</v>
      </c>
      <c r="AA54" s="277" t="s">
        <v>143</v>
      </c>
      <c r="AB54" s="277" t="s">
        <v>142</v>
      </c>
      <c r="AC54" s="277" t="s">
        <v>137</v>
      </c>
      <c r="AD54" s="277" t="s">
        <v>141</v>
      </c>
      <c r="AE54" s="277" t="s">
        <v>76</v>
      </c>
      <c r="AF54" s="277" t="s">
        <v>78</v>
      </c>
      <c r="AG54" s="277" t="s">
        <v>145</v>
      </c>
      <c r="AH54" s="277" t="s">
        <v>146</v>
      </c>
      <c r="AJ54" s="277" t="s">
        <v>121</v>
      </c>
      <c r="AK54" s="277" t="s">
        <v>205</v>
      </c>
      <c r="AL54" s="277" t="s">
        <v>144</v>
      </c>
      <c r="AM54" s="278"/>
      <c r="AN54" s="277" t="s">
        <v>173</v>
      </c>
      <c r="AO54" s="277" t="s">
        <v>86</v>
      </c>
      <c r="AP54" s="613"/>
      <c r="AQ54" s="279" t="s">
        <v>290</v>
      </c>
      <c r="AR54" s="624" t="s">
        <v>290</v>
      </c>
      <c r="AS54" s="277" t="s">
        <v>287</v>
      </c>
      <c r="AU54" s="619"/>
      <c r="AV54" s="277" t="s">
        <v>179</v>
      </c>
    </row>
    <row r="55" spans="2:50" s="273" customFormat="1" ht="24.9" customHeight="1" x14ac:dyDescent="0.2">
      <c r="B55" s="380">
        <v>1</v>
      </c>
      <c r="C55" s="575" t="str">
        <f>IF(ISNA(L55),"",L55)</f>
        <v/>
      </c>
      <c r="D55" s="576" t="str">
        <f>IF(ISNA(M55),"",M55)</f>
        <v/>
      </c>
      <c r="E55" s="465" t="str">
        <f>IF(OR(J55=0,J55=""),"",VLOOKUP(R55,Лист1!$M:$O,3,0))</f>
        <v/>
      </c>
      <c r="F55" s="327" t="str">
        <f>IF(ISNA(N55),"",N55)</f>
        <v/>
      </c>
      <c r="G55" s="588" t="str">
        <f>IF(J55=0,"",J55)</f>
        <v/>
      </c>
      <c r="H55" s="328" t="str">
        <f>IF(ISNA(O55),"",O55)</f>
        <v/>
      </c>
      <c r="J55" s="329">
        <f>form!R29</f>
        <v>0</v>
      </c>
      <c r="L55" s="275" t="str">
        <f>IF(G55="","",CONCATENATE(R55,".",S55,".",T55,".",U55,".",V55,".",W55,".",X55,".",Y55))</f>
        <v/>
      </c>
      <c r="M55" s="275" t="str">
        <f>IF(G55="","",CONCATENATE(AA55,", ",AB55,", ",AC55,", ",AD55,", ",AE55,", ",AF55,", ",AG55,", ",AH55))</f>
        <v/>
      </c>
      <c r="N55" s="275" t="str">
        <f>IF(G55="","",AS55*(1-$G$1))</f>
        <v/>
      </c>
      <c r="O55" s="275" t="str">
        <f>IF(F55="","",G55*F55)</f>
        <v/>
      </c>
      <c r="R55" s="330" t="e">
        <f>VLOOKUP(CONCATENATE(form!C29,".",form!D29),Лист1!$L:$N,2,0)</f>
        <v>#N/A</v>
      </c>
      <c r="S55" s="331" t="e">
        <f>VLOOKUP(CONCATENATE(form!C29,".",form!D29),Лист1!$Q:$S,2,0)</f>
        <v>#N/A</v>
      </c>
      <c r="T55" s="286" t="e">
        <f>VLOOKUP(CONCATENATE(form!E29,".",form!F29,".",form!G29),Лист1!$U:$W,2,0)</f>
        <v>#N/A</v>
      </c>
      <c r="U55" s="287" t="e">
        <f>VLOOKUP(form!I29,Лист1!$Y:$AA,2,0)</f>
        <v>#N/A</v>
      </c>
      <c r="V55" s="287" t="e">
        <f>VLOOKUP(form!J29,Лист1!$AC:$AE,2,0)</f>
        <v>#N/A</v>
      </c>
      <c r="W55" s="287" t="e">
        <f>VLOOKUP(form!K29,Лист1!$AG:$AI,2,0)</f>
        <v>#N/A</v>
      </c>
      <c r="X55" s="287" t="e">
        <f>VLOOKUP(CONCATENATE(form!L29,".",form!M29),Лист1!$AK$14:$AM$59,2,0)</f>
        <v>#N/A</v>
      </c>
      <c r="Y55" s="287" t="e">
        <f>VLOOKUP(CONCATENATE(form!L29,".",form!N29),Лист1!$AO$13:$AQ$40,2,0)</f>
        <v>#N/A</v>
      </c>
      <c r="AA55" s="275" t="e">
        <f>VLOOKUP(CONCATENATE(form!C29,".",form!D29),Лист1!$L:$N,3,0)</f>
        <v>#N/A</v>
      </c>
      <c r="AB55" s="275" t="e">
        <f>VLOOKUP(CONCATENATE(form!C29,".",form!D29),Лист1!$Q:$S,3,0)</f>
        <v>#N/A</v>
      </c>
      <c r="AC55" s="332" t="e">
        <f>VLOOKUP(CONCATENATE(form!E29,".",form!F29,".",form!G29),Лист1!$U:$W,3,0)</f>
        <v>#N/A</v>
      </c>
      <c r="AD55" s="332" t="e">
        <f>VLOOKUP(form!I29,Лист1!$Y:$AA,3,0)</f>
        <v>#N/A</v>
      </c>
      <c r="AE55" s="332" t="e">
        <f>VLOOKUP(form!J29,Лист1!$AC:$AE,3,0)</f>
        <v>#N/A</v>
      </c>
      <c r="AF55" s="333" t="e">
        <f>VLOOKUP(form!K29,Лист1!$AG:$AI,3,0)</f>
        <v>#N/A</v>
      </c>
      <c r="AG55" s="332" t="e">
        <f>VLOOKUP(CONCATENATE(form!L29,".",form!M29),Лист1!$AK$14:$AM$59,3,0)</f>
        <v>#N/A</v>
      </c>
      <c r="AH55" s="332" t="e">
        <f>VLOOKUP(CONCATENATE(form!L29,".",form!N29),Лист1!$AO$13:$AQ$40,3,0)</f>
        <v>#N/A</v>
      </c>
      <c r="AJ55" s="290" t="e">
        <f>VLOOKUP(CONCATENATE(form!C29,".",form!D29,".",form!H29),Лист1!$DD:$DH,5,0)</f>
        <v>#N/A</v>
      </c>
      <c r="AK55" s="290" t="e">
        <f>VLOOKUP(CONCATENATE(form!C29,".",form!J29),Лист1!$DJ:$DN,5,0)</f>
        <v>#N/A</v>
      </c>
      <c r="AL55" s="290" t="e">
        <f>VLOOKUP(CONCATENATE(form!C29,".",form!D29,".",form!K29),Лист1!$DP:$DT,5,0)</f>
        <v>#N/A</v>
      </c>
      <c r="AM55" s="291"/>
      <c r="AN55" s="290" t="e">
        <f>VLOOKUP(CONCATENATE(form!C29,".",form!L29),Лист1!$DV:$DZ,5,0)</f>
        <v>#N/A</v>
      </c>
      <c r="AO55" s="290" t="e">
        <f>VLOOKUP(CONCATENATE(form!C29,".",form!M29),Лист1!$EB:$EF,5,0)</f>
        <v>#N/A</v>
      </c>
      <c r="AP55" s="612"/>
      <c r="AQ55" s="292" t="str">
        <f>IF(ISNA(AR55),"0",AR55)</f>
        <v>0</v>
      </c>
      <c r="AR55" s="623" t="e">
        <f>VLOOKUP(CONCATENATE(form!C29,".",form!G29),Лист1!$EH:$EL,5,0)</f>
        <v>#N/A</v>
      </c>
      <c r="AS55" s="293" t="e">
        <f t="shared" si="8"/>
        <v>#N/A</v>
      </c>
      <c r="AU55" s="616">
        <f>IF(ISNA(AV55),"0",AV55)</f>
        <v>0</v>
      </c>
      <c r="AV55" s="294">
        <f>IF(G55="",0,ROUND(AS55*G55,2))</f>
        <v>0</v>
      </c>
      <c r="AX55" s="294"/>
    </row>
    <row r="56" spans="2:50" s="273" customFormat="1" ht="24.9" customHeight="1" x14ac:dyDescent="0.2">
      <c r="B56" s="381">
        <v>2</v>
      </c>
      <c r="C56" s="577" t="str">
        <f>IF(ISNA(L56),"",L56)</f>
        <v/>
      </c>
      <c r="D56" s="578" t="str">
        <f>IF(ISNA(M56),"",M56)</f>
        <v/>
      </c>
      <c r="E56" s="466" t="str">
        <f>IF(OR(J56=0,J56=""),"",VLOOKUP(R56,Лист1!$M:$O,3,0))</f>
        <v/>
      </c>
      <c r="F56" s="334" t="str">
        <f>IF(ISNA(N56),"",N56)</f>
        <v/>
      </c>
      <c r="G56" s="589" t="str">
        <f>IF(J56=0,"",J56)</f>
        <v/>
      </c>
      <c r="H56" s="335" t="str">
        <f>IF(ISNA(O56),"",O56)</f>
        <v/>
      </c>
      <c r="J56" s="329">
        <f>form!R30</f>
        <v>0</v>
      </c>
      <c r="L56" s="275" t="str">
        <f t="shared" ref="L56:L69" si="19">IF(G56="","",CONCATENATE(R56,".",S56,".",T56,".",U56,".",V56,".",W56,".",X56,".",Y56))</f>
        <v/>
      </c>
      <c r="M56" s="275" t="str">
        <f t="shared" ref="M56:M69" si="20">IF(G56="","",CONCATENATE(AA56,", ",AB56,", ",AC56,", ",AD56,", ",AE56,", ",AF56,", ",AG56,", ",AH56))</f>
        <v/>
      </c>
      <c r="N56" s="275" t="str">
        <f t="shared" ref="N56:N69" si="21">IF(G56="","",AS56*(1-$G$1))</f>
        <v/>
      </c>
      <c r="O56" s="275" t="str">
        <f t="shared" ref="O56:O69" si="22">IF(F56="","",G56*F56)</f>
        <v/>
      </c>
      <c r="R56" s="330" t="e">
        <f>VLOOKUP(CONCATENATE(form!C30,".",form!D30),Лист1!$L:$N,2,0)</f>
        <v>#N/A</v>
      </c>
      <c r="S56" s="331" t="e">
        <f>VLOOKUP(CONCATENATE(form!C30,".",form!D30),Лист1!$Q:$S,2,0)</f>
        <v>#N/A</v>
      </c>
      <c r="T56" s="286" t="e">
        <f>VLOOKUP(CONCATENATE(form!E30,".",form!F30,".",form!G30),Лист1!$U:$W,2,0)</f>
        <v>#N/A</v>
      </c>
      <c r="U56" s="287" t="e">
        <f>VLOOKUP(form!I30,Лист1!$Y:$AA,2,0)</f>
        <v>#N/A</v>
      </c>
      <c r="V56" s="287" t="e">
        <f>VLOOKUP(form!J30,Лист1!$AC:$AE,2,0)</f>
        <v>#N/A</v>
      </c>
      <c r="W56" s="287" t="e">
        <f>VLOOKUP(form!K30,Лист1!$AG:$AI,2,0)</f>
        <v>#N/A</v>
      </c>
      <c r="X56" s="287" t="e">
        <f>VLOOKUP(CONCATENATE(form!L30,".",form!M30),Лист1!$AK$14:$AM$59,2,0)</f>
        <v>#N/A</v>
      </c>
      <c r="Y56" s="287" t="e">
        <f>VLOOKUP(CONCATENATE(form!L30,".",form!N30),Лист1!$AO$13:$AQ$40,2,0)</f>
        <v>#N/A</v>
      </c>
      <c r="AA56" s="275" t="e">
        <f>VLOOKUP(CONCATENATE(form!C30,".",form!D30),Лист1!$L:$N,3,0)</f>
        <v>#N/A</v>
      </c>
      <c r="AB56" s="275" t="e">
        <f>VLOOKUP(CONCATENATE(form!C30,".",form!D30),Лист1!$Q:$S,3,0)</f>
        <v>#N/A</v>
      </c>
      <c r="AC56" s="332" t="e">
        <f>VLOOKUP(CONCATENATE(form!E30,".",form!F30,".",form!G30),Лист1!$U:$W,3,0)</f>
        <v>#N/A</v>
      </c>
      <c r="AD56" s="332" t="e">
        <f>VLOOKUP(form!I30,Лист1!$Y:$AA,3,0)</f>
        <v>#N/A</v>
      </c>
      <c r="AE56" s="332" t="e">
        <f>VLOOKUP(form!J30,Лист1!$AC:$AE,3,0)</f>
        <v>#N/A</v>
      </c>
      <c r="AF56" s="333" t="e">
        <f>VLOOKUP(form!K30,Лист1!$AG:$AI,3,0)</f>
        <v>#N/A</v>
      </c>
      <c r="AG56" s="332" t="e">
        <f>VLOOKUP(CONCATENATE(form!L30,".",form!M30),Лист1!$AK$14:$AM$59,3,0)</f>
        <v>#N/A</v>
      </c>
      <c r="AH56" s="332" t="e">
        <f>VLOOKUP(CONCATENATE(form!L30,".",form!N30),Лист1!$AO$13:$AQ$40,3,0)</f>
        <v>#N/A</v>
      </c>
      <c r="AJ56" s="290" t="e">
        <f>VLOOKUP(CONCATENATE(form!C30,".",form!D30,".",form!H30),Лист1!$DD:$DH,5,0)</f>
        <v>#N/A</v>
      </c>
      <c r="AK56" s="290" t="e">
        <f>VLOOKUP(CONCATENATE(form!C30,".",form!J30),Лист1!$DJ:$DN,5,0)</f>
        <v>#N/A</v>
      </c>
      <c r="AL56" s="290" t="e">
        <f>VLOOKUP(CONCATENATE(form!C30,".",form!D30,".",form!K30),Лист1!$DP:$DT,5,0)</f>
        <v>#N/A</v>
      </c>
      <c r="AM56" s="291"/>
      <c r="AN56" s="290" t="e">
        <f>VLOOKUP(CONCATENATE(form!C30,".",form!L30),Лист1!$DV:$DZ,5,0)</f>
        <v>#N/A</v>
      </c>
      <c r="AO56" s="290" t="e">
        <f>VLOOKUP(CONCATENATE(form!C30,".",form!M30),Лист1!$EB:$EF,5,0)</f>
        <v>#N/A</v>
      </c>
      <c r="AP56" s="612"/>
      <c r="AQ56" s="292" t="str">
        <f t="shared" ref="AQ56:AQ69" si="23">IF(ISNA(AR56),"0",AR56)</f>
        <v>0</v>
      </c>
      <c r="AR56" s="623" t="e">
        <f>VLOOKUP(CONCATENATE(form!C30,".",form!G30),Лист1!$EH:$EL,5,0)</f>
        <v>#N/A</v>
      </c>
      <c r="AS56" s="293" t="e">
        <f t="shared" si="8"/>
        <v>#N/A</v>
      </c>
      <c r="AU56" s="616">
        <f t="shared" ref="AU56:AU69" si="24">IF(ISNA(AV56),"0",AV56)</f>
        <v>0</v>
      </c>
      <c r="AV56" s="294">
        <f t="shared" ref="AV56:AV69" si="25">IF(G56="",0,ROUND(AS56*G56,2))</f>
        <v>0</v>
      </c>
      <c r="AX56" s="294"/>
    </row>
    <row r="57" spans="2:50" s="273" customFormat="1" ht="24.9" customHeight="1" x14ac:dyDescent="0.2">
      <c r="B57" s="381">
        <v>3</v>
      </c>
      <c r="C57" s="577" t="str">
        <f t="shared" ref="C57:C69" si="26">IF(ISNA(L57),"",L57)</f>
        <v/>
      </c>
      <c r="D57" s="578" t="str">
        <f t="shared" ref="D57:D69" si="27">IF(ISNA(M57),"",M57)</f>
        <v/>
      </c>
      <c r="E57" s="466" t="str">
        <f>IF(OR(J57=0,J57=""),"",VLOOKUP(R57,Лист1!$M:$O,3,0))</f>
        <v/>
      </c>
      <c r="F57" s="334" t="str">
        <f t="shared" ref="F57:F69" si="28">IF(ISNA(N57),"",N57)</f>
        <v/>
      </c>
      <c r="G57" s="589" t="str">
        <f t="shared" ref="G57:G69" si="29">IF(J57=0,"",J57)</f>
        <v/>
      </c>
      <c r="H57" s="335" t="str">
        <f t="shared" ref="H57:H69" si="30">IF(ISNA(O57),"",O57)</f>
        <v/>
      </c>
      <c r="J57" s="329">
        <f>form!R31</f>
        <v>0</v>
      </c>
      <c r="L57" s="275" t="str">
        <f t="shared" si="19"/>
        <v/>
      </c>
      <c r="M57" s="275" t="str">
        <f t="shared" si="20"/>
        <v/>
      </c>
      <c r="N57" s="275" t="str">
        <f t="shared" si="21"/>
        <v/>
      </c>
      <c r="O57" s="275" t="str">
        <f t="shared" si="22"/>
        <v/>
      </c>
      <c r="R57" s="330" t="e">
        <f>VLOOKUP(CONCATENATE(form!C31,".",form!D31),Лист1!$L:$N,2,0)</f>
        <v>#N/A</v>
      </c>
      <c r="S57" s="331" t="e">
        <f>VLOOKUP(CONCATENATE(form!C31,".",form!D31),Лист1!$Q:$S,2,0)</f>
        <v>#N/A</v>
      </c>
      <c r="T57" s="286" t="e">
        <f>VLOOKUP(CONCATENATE(form!E31,".",form!F31,".",form!G31),Лист1!$U:$W,2,0)</f>
        <v>#N/A</v>
      </c>
      <c r="U57" s="287" t="e">
        <f>VLOOKUP(form!I31,Лист1!$Y:$AA,2,0)</f>
        <v>#N/A</v>
      </c>
      <c r="V57" s="287" t="e">
        <f>VLOOKUP(form!J31,Лист1!$AC:$AE,2,0)</f>
        <v>#N/A</v>
      </c>
      <c r="W57" s="287" t="e">
        <f>VLOOKUP(form!K31,Лист1!$AG:$AI,2,0)</f>
        <v>#N/A</v>
      </c>
      <c r="X57" s="287" t="e">
        <f>VLOOKUP(CONCATENATE(form!L31,".",form!M31),Лист1!$AK$14:$AM$59,2,0)</f>
        <v>#N/A</v>
      </c>
      <c r="Y57" s="287" t="e">
        <f>VLOOKUP(CONCATENATE(form!L31,".",form!N31),Лист1!$AO$13:$AQ$40,2,0)</f>
        <v>#N/A</v>
      </c>
      <c r="AA57" s="275" t="e">
        <f>VLOOKUP(CONCATENATE(form!C31,".",form!D31),Лист1!$L:$N,3,0)</f>
        <v>#N/A</v>
      </c>
      <c r="AB57" s="275" t="e">
        <f>VLOOKUP(CONCATENATE(form!C31,".",form!D31),Лист1!$Q:$S,3,0)</f>
        <v>#N/A</v>
      </c>
      <c r="AC57" s="332" t="e">
        <f>VLOOKUP(CONCATENATE(form!E31,".",form!F31,".",form!G31),Лист1!$U:$W,3,0)</f>
        <v>#N/A</v>
      </c>
      <c r="AD57" s="332" t="e">
        <f>VLOOKUP(form!I31,Лист1!$Y:$AA,3,0)</f>
        <v>#N/A</v>
      </c>
      <c r="AE57" s="332" t="e">
        <f>VLOOKUP(form!J31,Лист1!$AC:$AE,3,0)</f>
        <v>#N/A</v>
      </c>
      <c r="AF57" s="333" t="e">
        <f>VLOOKUP(form!K31,Лист1!$AG:$AI,3,0)</f>
        <v>#N/A</v>
      </c>
      <c r="AG57" s="332" t="e">
        <f>VLOOKUP(CONCATENATE(form!L31,".",form!M31),Лист1!$AK$14:$AM$59,3,0)</f>
        <v>#N/A</v>
      </c>
      <c r="AH57" s="332" t="e">
        <f>VLOOKUP(CONCATENATE(form!L31,".",form!N31),Лист1!$AO$13:$AQ$40,3,0)</f>
        <v>#N/A</v>
      </c>
      <c r="AJ57" s="290" t="e">
        <f>VLOOKUP(CONCATENATE(form!C31,".",form!D31,".",form!H31),Лист1!$DD:$DH,5,0)</f>
        <v>#N/A</v>
      </c>
      <c r="AK57" s="290" t="e">
        <f>VLOOKUP(CONCATENATE(form!C31,".",form!J31),Лист1!$DJ:$DN,5,0)</f>
        <v>#N/A</v>
      </c>
      <c r="AL57" s="290" t="e">
        <f>VLOOKUP(CONCATENATE(form!C31,".",form!D31,".",form!K31),Лист1!$DP:$DT,5,0)</f>
        <v>#N/A</v>
      </c>
      <c r="AM57" s="291"/>
      <c r="AN57" s="290" t="e">
        <f>VLOOKUP(CONCATENATE(form!C31,".",form!L31),Лист1!$DV:$DZ,5,0)</f>
        <v>#N/A</v>
      </c>
      <c r="AO57" s="290" t="e">
        <f>VLOOKUP(CONCATENATE(form!C31,".",form!M31),Лист1!$EB:$EF,5,0)</f>
        <v>#N/A</v>
      </c>
      <c r="AP57" s="612"/>
      <c r="AQ57" s="292" t="str">
        <f t="shared" si="23"/>
        <v>0</v>
      </c>
      <c r="AR57" s="623" t="e">
        <f>VLOOKUP(CONCATENATE(form!C31,".",form!G31),Лист1!$EH:$EL,5,0)</f>
        <v>#N/A</v>
      </c>
      <c r="AS57" s="293" t="e">
        <f t="shared" si="8"/>
        <v>#N/A</v>
      </c>
      <c r="AU57" s="616">
        <f t="shared" si="24"/>
        <v>0</v>
      </c>
      <c r="AV57" s="294">
        <f t="shared" si="25"/>
        <v>0</v>
      </c>
      <c r="AX57" s="294"/>
    </row>
    <row r="58" spans="2:50" s="273" customFormat="1" ht="24.9" customHeight="1" x14ac:dyDescent="0.2">
      <c r="B58" s="381">
        <v>4</v>
      </c>
      <c r="C58" s="577" t="str">
        <f t="shared" si="26"/>
        <v/>
      </c>
      <c r="D58" s="578" t="str">
        <f t="shared" si="27"/>
        <v/>
      </c>
      <c r="E58" s="466" t="str">
        <f>IF(OR(J58=0,J58=""),"",VLOOKUP(R58,Лист1!$M:$O,3,0))</f>
        <v/>
      </c>
      <c r="F58" s="334" t="str">
        <f t="shared" si="28"/>
        <v/>
      </c>
      <c r="G58" s="589" t="str">
        <f t="shared" si="29"/>
        <v/>
      </c>
      <c r="H58" s="335" t="str">
        <f t="shared" si="30"/>
        <v/>
      </c>
      <c r="J58" s="329">
        <f>form!R32</f>
        <v>0</v>
      </c>
      <c r="L58" s="275" t="str">
        <f t="shared" si="19"/>
        <v/>
      </c>
      <c r="M58" s="275" t="str">
        <f t="shared" si="20"/>
        <v/>
      </c>
      <c r="N58" s="275" t="str">
        <f t="shared" si="21"/>
        <v/>
      </c>
      <c r="O58" s="275" t="str">
        <f t="shared" si="22"/>
        <v/>
      </c>
      <c r="R58" s="330" t="e">
        <f>VLOOKUP(CONCATENATE(form!C32,".",form!D32),Лист1!$L:$N,2,0)</f>
        <v>#N/A</v>
      </c>
      <c r="S58" s="331" t="e">
        <f>VLOOKUP(CONCATENATE(form!C32,".",form!D32),Лист1!$Q:$S,2,0)</f>
        <v>#N/A</v>
      </c>
      <c r="T58" s="286" t="e">
        <f>VLOOKUP(CONCATENATE(form!E32,".",form!F32,".",form!G32),Лист1!$U:$W,2,0)</f>
        <v>#N/A</v>
      </c>
      <c r="U58" s="287" t="e">
        <f>VLOOKUP(form!I32,Лист1!$Y:$AA,2,0)</f>
        <v>#N/A</v>
      </c>
      <c r="V58" s="287" t="e">
        <f>VLOOKUP(form!J32,Лист1!$AC:$AE,2,0)</f>
        <v>#N/A</v>
      </c>
      <c r="W58" s="287" t="e">
        <f>VLOOKUP(form!K32,Лист1!$AG:$AI,2,0)</f>
        <v>#N/A</v>
      </c>
      <c r="X58" s="287" t="e">
        <f>VLOOKUP(CONCATENATE(form!L32,".",form!M32),Лист1!$AK$14:$AM$59,2,0)</f>
        <v>#N/A</v>
      </c>
      <c r="Y58" s="287" t="e">
        <f>VLOOKUP(CONCATENATE(form!L32,".",form!N32),Лист1!$AO$13:$AQ$40,2,0)</f>
        <v>#N/A</v>
      </c>
      <c r="AA58" s="275" t="e">
        <f>VLOOKUP(CONCATENATE(form!C32,".",form!D32),Лист1!$L:$N,3,0)</f>
        <v>#N/A</v>
      </c>
      <c r="AB58" s="275" t="e">
        <f>VLOOKUP(CONCATENATE(form!C32,".",form!D32),Лист1!$Q:$S,3,0)</f>
        <v>#N/A</v>
      </c>
      <c r="AC58" s="332" t="e">
        <f>VLOOKUP(CONCATENATE(form!E32,".",form!F32,".",form!G32),Лист1!$U:$W,3,0)</f>
        <v>#N/A</v>
      </c>
      <c r="AD58" s="332" t="e">
        <f>VLOOKUP(form!I32,Лист1!$Y:$AA,3,0)</f>
        <v>#N/A</v>
      </c>
      <c r="AE58" s="332" t="e">
        <f>VLOOKUP(form!J32,Лист1!$AC:$AE,3,0)</f>
        <v>#N/A</v>
      </c>
      <c r="AF58" s="333" t="e">
        <f>VLOOKUP(form!K32,Лист1!$AG:$AI,3,0)</f>
        <v>#N/A</v>
      </c>
      <c r="AG58" s="332" t="e">
        <f>VLOOKUP(CONCATENATE(form!L32,".",form!M32),Лист1!$AK$14:$AM$59,3,0)</f>
        <v>#N/A</v>
      </c>
      <c r="AH58" s="332" t="e">
        <f>VLOOKUP(CONCATENATE(form!L32,".",form!N32),Лист1!$AO$13:$AQ$40,3,0)</f>
        <v>#N/A</v>
      </c>
      <c r="AJ58" s="290" t="e">
        <f>VLOOKUP(CONCATENATE(form!C32,".",form!D32,".",form!H32),Лист1!$DD:$DH,5,0)</f>
        <v>#N/A</v>
      </c>
      <c r="AK58" s="290" t="e">
        <f>VLOOKUP(CONCATENATE(form!C32,".",form!J32),Лист1!$DJ:$DN,5,0)</f>
        <v>#N/A</v>
      </c>
      <c r="AL58" s="290" t="e">
        <f>VLOOKUP(CONCATENATE(form!C32,".",form!D32,".",form!K32),Лист1!$DP:$DT,5,0)</f>
        <v>#N/A</v>
      </c>
      <c r="AM58" s="291"/>
      <c r="AN58" s="290" t="e">
        <f>VLOOKUP(CONCATENATE(form!C32,".",form!L32),Лист1!$DV:$DZ,5,0)</f>
        <v>#N/A</v>
      </c>
      <c r="AO58" s="290" t="e">
        <f>VLOOKUP(CONCATENATE(form!C32,".",form!M32),Лист1!$EB:$EF,5,0)</f>
        <v>#N/A</v>
      </c>
      <c r="AP58" s="612"/>
      <c r="AQ58" s="292" t="str">
        <f t="shared" si="23"/>
        <v>0</v>
      </c>
      <c r="AR58" s="623" t="e">
        <f>VLOOKUP(CONCATENATE(form!C32,".",form!G32),Лист1!$EH:$EL,5,0)</f>
        <v>#N/A</v>
      </c>
      <c r="AS58" s="293" t="e">
        <f t="shared" si="8"/>
        <v>#N/A</v>
      </c>
      <c r="AU58" s="616">
        <f t="shared" si="24"/>
        <v>0</v>
      </c>
      <c r="AV58" s="294">
        <f t="shared" si="25"/>
        <v>0</v>
      </c>
      <c r="AX58" s="294"/>
    </row>
    <row r="59" spans="2:50" s="273" customFormat="1" ht="24.9" customHeight="1" x14ac:dyDescent="0.2">
      <c r="B59" s="381">
        <v>5</v>
      </c>
      <c r="C59" s="577" t="str">
        <f t="shared" si="26"/>
        <v/>
      </c>
      <c r="D59" s="578" t="str">
        <f t="shared" si="27"/>
        <v/>
      </c>
      <c r="E59" s="466" t="str">
        <f>IF(OR(J59=0,J59=""),"",VLOOKUP(R59,Лист1!$M:$O,3,0))</f>
        <v/>
      </c>
      <c r="F59" s="334" t="str">
        <f t="shared" si="28"/>
        <v/>
      </c>
      <c r="G59" s="589" t="str">
        <f t="shared" si="29"/>
        <v/>
      </c>
      <c r="H59" s="335" t="str">
        <f t="shared" si="30"/>
        <v/>
      </c>
      <c r="J59" s="329">
        <f>form!R33</f>
        <v>0</v>
      </c>
      <c r="L59" s="275" t="str">
        <f t="shared" si="19"/>
        <v/>
      </c>
      <c r="M59" s="275" t="str">
        <f t="shared" si="20"/>
        <v/>
      </c>
      <c r="N59" s="275" t="str">
        <f t="shared" si="21"/>
        <v/>
      </c>
      <c r="O59" s="275" t="str">
        <f t="shared" si="22"/>
        <v/>
      </c>
      <c r="R59" s="330" t="e">
        <f>VLOOKUP(CONCATENATE(form!C33,".",form!D33),Лист1!$L:$N,2,0)</f>
        <v>#N/A</v>
      </c>
      <c r="S59" s="331" t="e">
        <f>VLOOKUP(CONCATENATE(form!C33,".",form!D33),Лист1!$Q:$S,2,0)</f>
        <v>#N/A</v>
      </c>
      <c r="T59" s="286" t="e">
        <f>VLOOKUP(CONCATENATE(form!E33,".",form!F33,".",form!G33),Лист1!$U:$W,2,0)</f>
        <v>#N/A</v>
      </c>
      <c r="U59" s="287" t="e">
        <f>VLOOKUP(form!I33,Лист1!$Y:$AA,2,0)</f>
        <v>#N/A</v>
      </c>
      <c r="V59" s="287" t="e">
        <f>VLOOKUP(form!J33,Лист1!$AC:$AE,2,0)</f>
        <v>#N/A</v>
      </c>
      <c r="W59" s="287" t="e">
        <f>VLOOKUP(form!K33,Лист1!$AG:$AI,2,0)</f>
        <v>#N/A</v>
      </c>
      <c r="X59" s="287" t="e">
        <f>VLOOKUP(CONCATENATE(form!L33,".",form!M33),Лист1!$AK$14:$AM$59,2,0)</f>
        <v>#N/A</v>
      </c>
      <c r="Y59" s="287" t="e">
        <f>VLOOKUP(CONCATENATE(form!L33,".",form!N33),Лист1!$AO$13:$AQ$40,2,0)</f>
        <v>#N/A</v>
      </c>
      <c r="AA59" s="275" t="e">
        <f>VLOOKUP(CONCATENATE(form!C33,".",form!D33),Лист1!$L:$N,3,0)</f>
        <v>#N/A</v>
      </c>
      <c r="AB59" s="275" t="e">
        <f>VLOOKUP(CONCATENATE(form!C33,".",form!D33),Лист1!$Q:$S,3,0)</f>
        <v>#N/A</v>
      </c>
      <c r="AC59" s="332" t="e">
        <f>VLOOKUP(CONCATENATE(form!E33,".",form!F33,".",form!G33),Лист1!$U:$W,3,0)</f>
        <v>#N/A</v>
      </c>
      <c r="AD59" s="332" t="e">
        <f>VLOOKUP(form!I33,Лист1!$Y:$AA,3,0)</f>
        <v>#N/A</v>
      </c>
      <c r="AE59" s="332" t="e">
        <f>VLOOKUP(form!J33,Лист1!$AC:$AE,3,0)</f>
        <v>#N/A</v>
      </c>
      <c r="AF59" s="333" t="e">
        <f>VLOOKUP(form!K33,Лист1!$AG:$AI,3,0)</f>
        <v>#N/A</v>
      </c>
      <c r="AG59" s="332" t="e">
        <f>VLOOKUP(CONCATENATE(form!L33,".",form!M33),Лист1!$AK$14:$AM$59,3,0)</f>
        <v>#N/A</v>
      </c>
      <c r="AH59" s="332" t="e">
        <f>VLOOKUP(CONCATENATE(form!L33,".",form!N33),Лист1!$AO$13:$AQ$40,3,0)</f>
        <v>#N/A</v>
      </c>
      <c r="AJ59" s="290" t="e">
        <f>VLOOKUP(CONCATENATE(form!C33,".",form!D33,".",form!H33),Лист1!$DD:$DH,5,0)</f>
        <v>#N/A</v>
      </c>
      <c r="AK59" s="290" t="e">
        <f>VLOOKUP(CONCATENATE(form!C33,".",form!J33),Лист1!$DJ:$DN,5,0)</f>
        <v>#N/A</v>
      </c>
      <c r="AL59" s="290" t="e">
        <f>VLOOKUP(CONCATENATE(form!C33,".",form!D33,".",form!K33),Лист1!$DP:$DT,5,0)</f>
        <v>#N/A</v>
      </c>
      <c r="AM59" s="291"/>
      <c r="AN59" s="290" t="e">
        <f>VLOOKUP(CONCATENATE(form!C33,".",form!L33),Лист1!$DV:$DZ,5,0)</f>
        <v>#N/A</v>
      </c>
      <c r="AO59" s="290" t="e">
        <f>VLOOKUP(CONCATENATE(form!C33,".",form!M33),Лист1!$EB:$EF,5,0)</f>
        <v>#N/A</v>
      </c>
      <c r="AP59" s="612"/>
      <c r="AQ59" s="292" t="str">
        <f t="shared" si="23"/>
        <v>0</v>
      </c>
      <c r="AR59" s="623" t="e">
        <f>VLOOKUP(CONCATENATE(form!C33,".",form!G33),Лист1!$EH:$EL,5,0)</f>
        <v>#N/A</v>
      </c>
      <c r="AS59" s="293" t="e">
        <f t="shared" si="8"/>
        <v>#N/A</v>
      </c>
      <c r="AU59" s="616">
        <f t="shared" si="24"/>
        <v>0</v>
      </c>
      <c r="AV59" s="294">
        <f t="shared" si="25"/>
        <v>0</v>
      </c>
      <c r="AX59" s="294"/>
    </row>
    <row r="60" spans="2:50" s="273" customFormat="1" ht="24.9" customHeight="1" x14ac:dyDescent="0.2">
      <c r="B60" s="381">
        <v>6</v>
      </c>
      <c r="C60" s="577" t="str">
        <f t="shared" si="26"/>
        <v/>
      </c>
      <c r="D60" s="578" t="str">
        <f t="shared" si="27"/>
        <v/>
      </c>
      <c r="E60" s="466" t="str">
        <f>IF(OR(J60=0,J60=""),"",VLOOKUP(R60,Лист1!$M:$O,3,0))</f>
        <v/>
      </c>
      <c r="F60" s="334" t="str">
        <f t="shared" si="28"/>
        <v/>
      </c>
      <c r="G60" s="589" t="str">
        <f t="shared" si="29"/>
        <v/>
      </c>
      <c r="H60" s="335" t="str">
        <f t="shared" si="30"/>
        <v/>
      </c>
      <c r="J60" s="329">
        <f>form!R34</f>
        <v>0</v>
      </c>
      <c r="L60" s="275" t="str">
        <f t="shared" si="19"/>
        <v/>
      </c>
      <c r="M60" s="275" t="str">
        <f t="shared" si="20"/>
        <v/>
      </c>
      <c r="N60" s="275" t="str">
        <f t="shared" si="21"/>
        <v/>
      </c>
      <c r="O60" s="275" t="str">
        <f t="shared" si="22"/>
        <v/>
      </c>
      <c r="R60" s="330" t="e">
        <f>VLOOKUP(CONCATENATE(form!C34,".",form!D34),Лист1!$L:$N,2,0)</f>
        <v>#N/A</v>
      </c>
      <c r="S60" s="331" t="e">
        <f>VLOOKUP(CONCATENATE(form!C34,".",form!D34),Лист1!$Q:$S,2,0)</f>
        <v>#N/A</v>
      </c>
      <c r="T60" s="286" t="e">
        <f>VLOOKUP(CONCATENATE(form!E34,".",form!F34,".",form!G34),Лист1!$U:$W,2,0)</f>
        <v>#N/A</v>
      </c>
      <c r="U60" s="287" t="e">
        <f>VLOOKUP(form!I34,Лист1!$Y:$AA,2,0)</f>
        <v>#N/A</v>
      </c>
      <c r="V60" s="287" t="e">
        <f>VLOOKUP(form!J34,Лист1!$AC:$AE,2,0)</f>
        <v>#N/A</v>
      </c>
      <c r="W60" s="287" t="e">
        <f>VLOOKUP(form!K34,Лист1!$AG:$AI,2,0)</f>
        <v>#N/A</v>
      </c>
      <c r="X60" s="287" t="e">
        <f>VLOOKUP(CONCATENATE(form!L34,".",form!M34),Лист1!$AK$14:$AM$59,2,0)</f>
        <v>#N/A</v>
      </c>
      <c r="Y60" s="287" t="e">
        <f>VLOOKUP(CONCATENATE(form!L34,".",form!N34),Лист1!$AO$13:$AQ$40,2,0)</f>
        <v>#N/A</v>
      </c>
      <c r="AA60" s="275" t="e">
        <f>VLOOKUP(CONCATENATE(form!C34,".",form!D34),Лист1!$L:$N,3,0)</f>
        <v>#N/A</v>
      </c>
      <c r="AB60" s="275" t="e">
        <f>VLOOKUP(CONCATENATE(form!C34,".",form!D34),Лист1!$Q:$S,3,0)</f>
        <v>#N/A</v>
      </c>
      <c r="AC60" s="332" t="e">
        <f>VLOOKUP(CONCATENATE(form!E34,".",form!F34,".",form!G34),Лист1!$U:$W,3,0)</f>
        <v>#N/A</v>
      </c>
      <c r="AD60" s="332" t="e">
        <f>VLOOKUP(form!I34,Лист1!$Y:$AA,3,0)</f>
        <v>#N/A</v>
      </c>
      <c r="AE60" s="332" t="e">
        <f>VLOOKUP(form!J34,Лист1!$AC:$AE,3,0)</f>
        <v>#N/A</v>
      </c>
      <c r="AF60" s="333" t="e">
        <f>VLOOKUP(form!K34,Лист1!$AG:$AI,3,0)</f>
        <v>#N/A</v>
      </c>
      <c r="AG60" s="332" t="e">
        <f>VLOOKUP(CONCATENATE(form!L34,".",form!M34),Лист1!$AK$14:$AM$59,3,0)</f>
        <v>#N/A</v>
      </c>
      <c r="AH60" s="332" t="e">
        <f>VLOOKUP(CONCATENATE(form!L34,".",form!N34),Лист1!$AO$13:$AQ$40,3,0)</f>
        <v>#N/A</v>
      </c>
      <c r="AJ60" s="290" t="e">
        <f>VLOOKUP(CONCATENATE(form!C34,".",form!D34,".",form!H34),Лист1!$DD:$DH,5,0)</f>
        <v>#N/A</v>
      </c>
      <c r="AK60" s="290" t="e">
        <f>VLOOKUP(CONCATENATE(form!C34,".",form!J34),Лист1!$DJ:$DN,5,0)</f>
        <v>#N/A</v>
      </c>
      <c r="AL60" s="290" t="e">
        <f>VLOOKUP(CONCATENATE(form!C34,".",form!D34,".",form!K34),Лист1!$DP:$DT,5,0)</f>
        <v>#N/A</v>
      </c>
      <c r="AM60" s="291"/>
      <c r="AN60" s="290" t="e">
        <f>VLOOKUP(CONCATENATE(form!C34,".",form!L34),Лист1!$DV:$DZ,5,0)</f>
        <v>#N/A</v>
      </c>
      <c r="AO60" s="290" t="e">
        <f>VLOOKUP(CONCATENATE(form!C34,".",form!M34),Лист1!$EB:$EF,5,0)</f>
        <v>#N/A</v>
      </c>
      <c r="AP60" s="612"/>
      <c r="AQ60" s="292" t="str">
        <f t="shared" si="23"/>
        <v>0</v>
      </c>
      <c r="AR60" s="623" t="e">
        <f>VLOOKUP(CONCATENATE(form!C34,".",form!G34),Лист1!$EH:$EL,5,0)</f>
        <v>#N/A</v>
      </c>
      <c r="AS60" s="293" t="e">
        <f t="shared" si="8"/>
        <v>#N/A</v>
      </c>
      <c r="AU60" s="616">
        <f t="shared" si="24"/>
        <v>0</v>
      </c>
      <c r="AV60" s="294">
        <f t="shared" si="25"/>
        <v>0</v>
      </c>
      <c r="AX60" s="294"/>
    </row>
    <row r="61" spans="2:50" s="273" customFormat="1" ht="24.9" customHeight="1" x14ac:dyDescent="0.2">
      <c r="B61" s="381">
        <v>7</v>
      </c>
      <c r="C61" s="577" t="str">
        <f t="shared" si="26"/>
        <v/>
      </c>
      <c r="D61" s="578" t="str">
        <f t="shared" si="27"/>
        <v/>
      </c>
      <c r="E61" s="466" t="str">
        <f>IF(OR(J61=0,J61=""),"",VLOOKUP(R61,Лист1!$M:$O,3,0))</f>
        <v/>
      </c>
      <c r="F61" s="334" t="str">
        <f t="shared" si="28"/>
        <v/>
      </c>
      <c r="G61" s="589" t="str">
        <f t="shared" si="29"/>
        <v/>
      </c>
      <c r="H61" s="335" t="str">
        <f t="shared" si="30"/>
        <v/>
      </c>
      <c r="J61" s="329">
        <f>form!R35</f>
        <v>0</v>
      </c>
      <c r="L61" s="275" t="str">
        <f t="shared" si="19"/>
        <v/>
      </c>
      <c r="M61" s="275" t="str">
        <f t="shared" si="20"/>
        <v/>
      </c>
      <c r="N61" s="275" t="str">
        <f t="shared" si="21"/>
        <v/>
      </c>
      <c r="O61" s="275" t="str">
        <f t="shared" si="22"/>
        <v/>
      </c>
      <c r="R61" s="330" t="e">
        <f>VLOOKUP(CONCATENATE(form!C35,".",form!D35),Лист1!$L:$N,2,0)</f>
        <v>#N/A</v>
      </c>
      <c r="S61" s="331" t="e">
        <f>VLOOKUP(CONCATENATE(form!C35,".",form!D35),Лист1!$Q:$S,2,0)</f>
        <v>#N/A</v>
      </c>
      <c r="T61" s="286" t="e">
        <f>VLOOKUP(CONCATENATE(form!E35,".",form!F35,".",form!G35),Лист1!$U:$W,2,0)</f>
        <v>#N/A</v>
      </c>
      <c r="U61" s="287" t="e">
        <f>VLOOKUP(form!I35,Лист1!$Y:$AA,2,0)</f>
        <v>#N/A</v>
      </c>
      <c r="V61" s="287" t="e">
        <f>VLOOKUP(form!J35,Лист1!$AC:$AE,2,0)</f>
        <v>#N/A</v>
      </c>
      <c r="W61" s="287" t="e">
        <f>VLOOKUP(form!K35,Лист1!$AG:$AI,2,0)</f>
        <v>#N/A</v>
      </c>
      <c r="X61" s="287" t="e">
        <f>VLOOKUP(CONCATENATE(form!L35,".",form!M35),Лист1!$AK$14:$AM$59,2,0)</f>
        <v>#N/A</v>
      </c>
      <c r="Y61" s="287" t="e">
        <f>VLOOKUP(CONCATENATE(form!L35,".",form!N35),Лист1!$AO$13:$AQ$40,2,0)</f>
        <v>#N/A</v>
      </c>
      <c r="AA61" s="275" t="e">
        <f>VLOOKUP(CONCATENATE(form!C35,".",form!D35),Лист1!$L:$N,3,0)</f>
        <v>#N/A</v>
      </c>
      <c r="AB61" s="275" t="e">
        <f>VLOOKUP(CONCATENATE(form!C35,".",form!D35),Лист1!$Q:$S,3,0)</f>
        <v>#N/A</v>
      </c>
      <c r="AC61" s="332" t="e">
        <f>VLOOKUP(CONCATENATE(form!E35,".",form!F35,".",form!G35),Лист1!$U:$W,3,0)</f>
        <v>#N/A</v>
      </c>
      <c r="AD61" s="332" t="e">
        <f>VLOOKUP(form!I35,Лист1!$Y:$AA,3,0)</f>
        <v>#N/A</v>
      </c>
      <c r="AE61" s="332" t="e">
        <f>VLOOKUP(form!J35,Лист1!$AC:$AE,3,0)</f>
        <v>#N/A</v>
      </c>
      <c r="AF61" s="333" t="e">
        <f>VLOOKUP(form!K35,Лист1!$AG:$AI,3,0)</f>
        <v>#N/A</v>
      </c>
      <c r="AG61" s="332" t="e">
        <f>VLOOKUP(CONCATENATE(form!L35,".",form!M35),Лист1!$AK$14:$AM$59,3,0)</f>
        <v>#N/A</v>
      </c>
      <c r="AH61" s="332" t="e">
        <f>VLOOKUP(CONCATENATE(form!L35,".",form!N35),Лист1!$AO$13:$AQ$40,3,0)</f>
        <v>#N/A</v>
      </c>
      <c r="AJ61" s="290" t="e">
        <f>VLOOKUP(CONCATENATE(form!C35,".",form!D35,".",form!H35),Лист1!$DD:$DH,5,0)</f>
        <v>#N/A</v>
      </c>
      <c r="AK61" s="290" t="e">
        <f>VLOOKUP(CONCATENATE(form!C35,".",form!J35),Лист1!$DJ:$DN,5,0)</f>
        <v>#N/A</v>
      </c>
      <c r="AL61" s="290" t="e">
        <f>VLOOKUP(CONCATENATE(form!C35,".",form!D35,".",form!K35),Лист1!$DP:$DT,5,0)</f>
        <v>#N/A</v>
      </c>
      <c r="AM61" s="291"/>
      <c r="AN61" s="290" t="e">
        <f>VLOOKUP(CONCATENATE(form!C35,".",form!L35),Лист1!$DV:$DZ,5,0)</f>
        <v>#N/A</v>
      </c>
      <c r="AO61" s="290" t="e">
        <f>VLOOKUP(CONCATENATE(form!C35,".",form!M35),Лист1!$EB:$EF,5,0)</f>
        <v>#N/A</v>
      </c>
      <c r="AP61" s="612"/>
      <c r="AQ61" s="292" t="str">
        <f t="shared" si="23"/>
        <v>0</v>
      </c>
      <c r="AR61" s="623" t="e">
        <f>VLOOKUP(CONCATENATE(form!C35,".",form!G35),Лист1!$EH:$EL,5,0)</f>
        <v>#N/A</v>
      </c>
      <c r="AS61" s="293" t="e">
        <f t="shared" si="8"/>
        <v>#N/A</v>
      </c>
      <c r="AU61" s="616">
        <f t="shared" si="24"/>
        <v>0</v>
      </c>
      <c r="AV61" s="294">
        <f t="shared" si="25"/>
        <v>0</v>
      </c>
      <c r="AX61" s="294"/>
    </row>
    <row r="62" spans="2:50" s="273" customFormat="1" ht="24.9" customHeight="1" x14ac:dyDescent="0.2">
      <c r="B62" s="381">
        <v>8</v>
      </c>
      <c r="C62" s="577" t="str">
        <f t="shared" si="26"/>
        <v/>
      </c>
      <c r="D62" s="578" t="str">
        <f t="shared" si="27"/>
        <v/>
      </c>
      <c r="E62" s="466" t="str">
        <f>IF(OR(J62=0,J62=""),"",VLOOKUP(R62,Лист1!$M:$O,3,0))</f>
        <v/>
      </c>
      <c r="F62" s="334" t="str">
        <f t="shared" si="28"/>
        <v/>
      </c>
      <c r="G62" s="589" t="str">
        <f t="shared" si="29"/>
        <v/>
      </c>
      <c r="H62" s="335" t="str">
        <f t="shared" si="30"/>
        <v/>
      </c>
      <c r="J62" s="329">
        <f>form!R36</f>
        <v>0</v>
      </c>
      <c r="L62" s="275" t="str">
        <f t="shared" si="19"/>
        <v/>
      </c>
      <c r="M62" s="275" t="str">
        <f t="shared" si="20"/>
        <v/>
      </c>
      <c r="N62" s="275" t="str">
        <f t="shared" si="21"/>
        <v/>
      </c>
      <c r="O62" s="275" t="str">
        <f t="shared" si="22"/>
        <v/>
      </c>
      <c r="R62" s="330" t="e">
        <f>VLOOKUP(CONCATENATE(form!C36,".",form!D36),Лист1!$L:$N,2,0)</f>
        <v>#N/A</v>
      </c>
      <c r="S62" s="331" t="e">
        <f>VLOOKUP(CONCATENATE(form!C36,".",form!D36),Лист1!$Q:$S,2,0)</f>
        <v>#N/A</v>
      </c>
      <c r="T62" s="286" t="e">
        <f>VLOOKUP(CONCATENATE(form!E36,".",form!F36,".",form!G36),Лист1!$U:$W,2,0)</f>
        <v>#N/A</v>
      </c>
      <c r="U62" s="287" t="e">
        <f>VLOOKUP(form!I36,Лист1!$Y:$AA,2,0)</f>
        <v>#N/A</v>
      </c>
      <c r="V62" s="287" t="e">
        <f>VLOOKUP(form!J36,Лист1!$AC:$AE,2,0)</f>
        <v>#N/A</v>
      </c>
      <c r="W62" s="287" t="e">
        <f>VLOOKUP(form!K36,Лист1!$AG:$AI,2,0)</f>
        <v>#N/A</v>
      </c>
      <c r="X62" s="287" t="e">
        <f>VLOOKUP(CONCATENATE(form!L36,".",form!M36),Лист1!$AK$14:$AM$59,2,0)</f>
        <v>#N/A</v>
      </c>
      <c r="Y62" s="287" t="e">
        <f>VLOOKUP(CONCATENATE(form!L36,".",form!N36),Лист1!$AO$13:$AQ$40,2,0)</f>
        <v>#N/A</v>
      </c>
      <c r="AA62" s="275" t="e">
        <f>VLOOKUP(CONCATENATE(form!C36,".",form!D36),Лист1!$L:$N,3,0)</f>
        <v>#N/A</v>
      </c>
      <c r="AB62" s="275" t="e">
        <f>VLOOKUP(CONCATENATE(form!C36,".",form!D36),Лист1!$Q:$S,3,0)</f>
        <v>#N/A</v>
      </c>
      <c r="AC62" s="332" t="e">
        <f>VLOOKUP(CONCATENATE(form!E36,".",form!F36,".",form!G36),Лист1!$U:$W,3,0)</f>
        <v>#N/A</v>
      </c>
      <c r="AD62" s="332" t="e">
        <f>VLOOKUP(form!I36,Лист1!$Y:$AA,3,0)</f>
        <v>#N/A</v>
      </c>
      <c r="AE62" s="332" t="e">
        <f>VLOOKUP(form!J36,Лист1!$AC:$AE,3,0)</f>
        <v>#N/A</v>
      </c>
      <c r="AF62" s="333" t="e">
        <f>VLOOKUP(form!K36,Лист1!$AG:$AI,3,0)</f>
        <v>#N/A</v>
      </c>
      <c r="AG62" s="332" t="e">
        <f>VLOOKUP(CONCATENATE(form!L36,".",form!M36),Лист1!$AK$14:$AM$59,3,0)</f>
        <v>#N/A</v>
      </c>
      <c r="AH62" s="332" t="e">
        <f>VLOOKUP(CONCATENATE(form!L36,".",form!N36),Лист1!$AO$13:$AQ$40,3,0)</f>
        <v>#N/A</v>
      </c>
      <c r="AJ62" s="290" t="e">
        <f>VLOOKUP(CONCATENATE(form!C36,".",form!D36,".",form!H36),Лист1!$DD:$DH,5,0)</f>
        <v>#N/A</v>
      </c>
      <c r="AK62" s="290" t="e">
        <f>VLOOKUP(CONCATENATE(form!C36,".",form!J36),Лист1!$DJ:$DN,5,0)</f>
        <v>#N/A</v>
      </c>
      <c r="AL62" s="290" t="e">
        <f>VLOOKUP(CONCATENATE(form!C36,".",form!D36,".",form!K36),Лист1!$DP:$DT,5,0)</f>
        <v>#N/A</v>
      </c>
      <c r="AM62" s="291"/>
      <c r="AN62" s="290" t="e">
        <f>VLOOKUP(CONCATENATE(form!C36,".",form!L36),Лист1!$DV:$DZ,5,0)</f>
        <v>#N/A</v>
      </c>
      <c r="AO62" s="290" t="e">
        <f>VLOOKUP(CONCATENATE(form!C36,".",form!M36),Лист1!$EB:$EF,5,0)</f>
        <v>#N/A</v>
      </c>
      <c r="AP62" s="612"/>
      <c r="AQ62" s="292" t="str">
        <f t="shared" si="23"/>
        <v>0</v>
      </c>
      <c r="AR62" s="623" t="e">
        <f>VLOOKUP(CONCATENATE(form!C36,".",form!G36),Лист1!$EH:$EL,5,0)</f>
        <v>#N/A</v>
      </c>
      <c r="AS62" s="293" t="e">
        <f t="shared" si="8"/>
        <v>#N/A</v>
      </c>
      <c r="AU62" s="616">
        <f t="shared" si="24"/>
        <v>0</v>
      </c>
      <c r="AV62" s="294">
        <f t="shared" si="25"/>
        <v>0</v>
      </c>
      <c r="AX62" s="294"/>
    </row>
    <row r="63" spans="2:50" s="273" customFormat="1" ht="24.9" customHeight="1" x14ac:dyDescent="0.2">
      <c r="B63" s="381">
        <v>9</v>
      </c>
      <c r="C63" s="577" t="str">
        <f t="shared" si="26"/>
        <v/>
      </c>
      <c r="D63" s="578" t="str">
        <f t="shared" si="27"/>
        <v/>
      </c>
      <c r="E63" s="466" t="str">
        <f>IF(OR(J63=0,J63=""),"",VLOOKUP(R63,Лист1!$M:$O,3,0))</f>
        <v/>
      </c>
      <c r="F63" s="334" t="str">
        <f t="shared" si="28"/>
        <v/>
      </c>
      <c r="G63" s="589" t="str">
        <f t="shared" si="29"/>
        <v/>
      </c>
      <c r="H63" s="335" t="str">
        <f t="shared" si="30"/>
        <v/>
      </c>
      <c r="J63" s="329">
        <f>form!R37</f>
        <v>0</v>
      </c>
      <c r="L63" s="275" t="str">
        <f t="shared" si="19"/>
        <v/>
      </c>
      <c r="M63" s="275" t="str">
        <f t="shared" si="20"/>
        <v/>
      </c>
      <c r="N63" s="275" t="str">
        <f t="shared" si="21"/>
        <v/>
      </c>
      <c r="O63" s="275" t="str">
        <f t="shared" si="22"/>
        <v/>
      </c>
      <c r="R63" s="330" t="e">
        <f>VLOOKUP(CONCATENATE(form!C37,".",form!D37),Лист1!$L:$N,2,0)</f>
        <v>#N/A</v>
      </c>
      <c r="S63" s="331" t="e">
        <f>VLOOKUP(CONCATENATE(form!C37,".",form!D37),Лист1!$Q:$S,2,0)</f>
        <v>#N/A</v>
      </c>
      <c r="T63" s="286" t="e">
        <f>VLOOKUP(CONCATENATE(form!E37,".",form!F37,".",form!G37),Лист1!$U:$W,2,0)</f>
        <v>#N/A</v>
      </c>
      <c r="U63" s="287" t="e">
        <f>VLOOKUP(form!I37,Лист1!$Y:$AA,2,0)</f>
        <v>#N/A</v>
      </c>
      <c r="V63" s="287" t="e">
        <f>VLOOKUP(form!J37,Лист1!$AC:$AE,2,0)</f>
        <v>#N/A</v>
      </c>
      <c r="W63" s="287" t="e">
        <f>VLOOKUP(form!K37,Лист1!$AG:$AI,2,0)</f>
        <v>#N/A</v>
      </c>
      <c r="X63" s="287" t="e">
        <f>VLOOKUP(CONCATENATE(form!L37,".",form!M37),Лист1!$AK$14:$AM$59,2,0)</f>
        <v>#N/A</v>
      </c>
      <c r="Y63" s="287" t="e">
        <f>VLOOKUP(CONCATENATE(form!L37,".",form!N37),Лист1!$AO$13:$AQ$40,2,0)</f>
        <v>#N/A</v>
      </c>
      <c r="AA63" s="275" t="e">
        <f>VLOOKUP(CONCATENATE(form!C37,".",form!D37),Лист1!$L:$N,3,0)</f>
        <v>#N/A</v>
      </c>
      <c r="AB63" s="275" t="e">
        <f>VLOOKUP(CONCATENATE(form!C37,".",form!D37),Лист1!$Q:$S,3,0)</f>
        <v>#N/A</v>
      </c>
      <c r="AC63" s="332" t="e">
        <f>VLOOKUP(CONCATENATE(form!E37,".",form!F37,".",form!G37),Лист1!$U:$W,3,0)</f>
        <v>#N/A</v>
      </c>
      <c r="AD63" s="332" t="e">
        <f>VLOOKUP(form!I37,Лист1!$Y:$AA,3,0)</f>
        <v>#N/A</v>
      </c>
      <c r="AE63" s="332" t="e">
        <f>VLOOKUP(form!J37,Лист1!$AC:$AE,3,0)</f>
        <v>#N/A</v>
      </c>
      <c r="AF63" s="333" t="e">
        <f>VLOOKUP(form!K37,Лист1!$AG:$AI,3,0)</f>
        <v>#N/A</v>
      </c>
      <c r="AG63" s="332" t="e">
        <f>VLOOKUP(CONCATENATE(form!L37,".",form!M37),Лист1!$AK$14:$AM$59,3,0)</f>
        <v>#N/A</v>
      </c>
      <c r="AH63" s="332" t="e">
        <f>VLOOKUP(CONCATENATE(form!L37,".",form!N37),Лист1!$AO$13:$AQ$40,3,0)</f>
        <v>#N/A</v>
      </c>
      <c r="AJ63" s="290" t="e">
        <f>VLOOKUP(CONCATENATE(form!C37,".",form!D37,".",form!H37),Лист1!$DD:$DH,5,0)</f>
        <v>#N/A</v>
      </c>
      <c r="AK63" s="290" t="e">
        <f>VLOOKUP(CONCATENATE(form!C37,".",form!J37),Лист1!$DJ:$DN,5,0)</f>
        <v>#N/A</v>
      </c>
      <c r="AL63" s="290" t="e">
        <f>VLOOKUP(CONCATENATE(form!C37,".",form!D37,".",form!K37),Лист1!$DP:$DT,5,0)</f>
        <v>#N/A</v>
      </c>
      <c r="AM63" s="291"/>
      <c r="AN63" s="290" t="e">
        <f>VLOOKUP(CONCATENATE(form!C37,".",form!L37),Лист1!$DV:$DZ,5,0)</f>
        <v>#N/A</v>
      </c>
      <c r="AO63" s="290" t="e">
        <f>VLOOKUP(CONCATENATE(form!C37,".",form!M37),Лист1!$EB:$EF,5,0)</f>
        <v>#N/A</v>
      </c>
      <c r="AP63" s="612"/>
      <c r="AQ63" s="292" t="str">
        <f t="shared" si="23"/>
        <v>0</v>
      </c>
      <c r="AR63" s="623" t="e">
        <f>VLOOKUP(CONCATENATE(form!C37,".",form!G37),Лист1!$EH:$EL,5,0)</f>
        <v>#N/A</v>
      </c>
      <c r="AS63" s="293" t="e">
        <f t="shared" si="8"/>
        <v>#N/A</v>
      </c>
      <c r="AU63" s="616">
        <f t="shared" si="24"/>
        <v>0</v>
      </c>
      <c r="AV63" s="294">
        <f t="shared" si="25"/>
        <v>0</v>
      </c>
      <c r="AX63" s="294"/>
    </row>
    <row r="64" spans="2:50" s="273" customFormat="1" ht="24.9" customHeight="1" x14ac:dyDescent="0.2">
      <c r="B64" s="381">
        <v>10</v>
      </c>
      <c r="C64" s="577" t="str">
        <f t="shared" si="26"/>
        <v/>
      </c>
      <c r="D64" s="578" t="str">
        <f t="shared" si="27"/>
        <v/>
      </c>
      <c r="E64" s="466" t="str">
        <f>IF(OR(J64=0,J64=""),"",VLOOKUP(R64,Лист1!$M:$O,3,0))</f>
        <v/>
      </c>
      <c r="F64" s="334" t="str">
        <f t="shared" si="28"/>
        <v/>
      </c>
      <c r="G64" s="589" t="str">
        <f t="shared" si="29"/>
        <v/>
      </c>
      <c r="H64" s="335" t="str">
        <f t="shared" si="30"/>
        <v/>
      </c>
      <c r="J64" s="329">
        <f>form!R38</f>
        <v>0</v>
      </c>
      <c r="L64" s="275" t="str">
        <f t="shared" si="19"/>
        <v/>
      </c>
      <c r="M64" s="275" t="str">
        <f t="shared" si="20"/>
        <v/>
      </c>
      <c r="N64" s="275" t="str">
        <f t="shared" si="21"/>
        <v/>
      </c>
      <c r="O64" s="275" t="str">
        <f t="shared" si="22"/>
        <v/>
      </c>
      <c r="R64" s="330" t="e">
        <f>VLOOKUP(CONCATENATE(form!C38,".",form!D38),Лист1!$L:$N,2,0)</f>
        <v>#N/A</v>
      </c>
      <c r="S64" s="331" t="e">
        <f>VLOOKUP(CONCATENATE(form!C38,".",form!D38),Лист1!$Q:$S,2,0)</f>
        <v>#N/A</v>
      </c>
      <c r="T64" s="286" t="e">
        <f>VLOOKUP(CONCATENATE(form!E38,".",form!F38,".",form!G38),Лист1!$U:$W,2,0)</f>
        <v>#N/A</v>
      </c>
      <c r="U64" s="287" t="e">
        <f>VLOOKUP(form!I38,Лист1!$Y:$AA,2,0)</f>
        <v>#N/A</v>
      </c>
      <c r="V64" s="287" t="e">
        <f>VLOOKUP(form!J38,Лист1!$AC:$AE,2,0)</f>
        <v>#N/A</v>
      </c>
      <c r="W64" s="287" t="e">
        <f>VLOOKUP(form!K38,Лист1!$AG:$AI,2,0)</f>
        <v>#N/A</v>
      </c>
      <c r="X64" s="287" t="e">
        <f>VLOOKUP(CONCATENATE(form!L38,".",form!M38),Лист1!$AK$14:$AM$59,2,0)</f>
        <v>#N/A</v>
      </c>
      <c r="Y64" s="287" t="e">
        <f>VLOOKUP(CONCATENATE(form!L38,".",form!N38),Лист1!$AO$13:$AQ$40,2,0)</f>
        <v>#N/A</v>
      </c>
      <c r="AA64" s="275" t="e">
        <f>VLOOKUP(CONCATENATE(form!C38,".",form!D38),Лист1!$L:$N,3,0)</f>
        <v>#N/A</v>
      </c>
      <c r="AB64" s="275" t="e">
        <f>VLOOKUP(CONCATENATE(form!C38,".",form!D38),Лист1!$Q:$S,3,0)</f>
        <v>#N/A</v>
      </c>
      <c r="AC64" s="332" t="e">
        <f>VLOOKUP(CONCATENATE(form!E38,".",form!F38,".",form!G38),Лист1!$U:$W,3,0)</f>
        <v>#N/A</v>
      </c>
      <c r="AD64" s="332" t="e">
        <f>VLOOKUP(form!I38,Лист1!$Y:$AA,3,0)</f>
        <v>#N/A</v>
      </c>
      <c r="AE64" s="332" t="e">
        <f>VLOOKUP(form!J38,Лист1!$AC:$AE,3,0)</f>
        <v>#N/A</v>
      </c>
      <c r="AF64" s="333" t="e">
        <f>VLOOKUP(form!K38,Лист1!$AG:$AI,3,0)</f>
        <v>#N/A</v>
      </c>
      <c r="AG64" s="332" t="e">
        <f>VLOOKUP(CONCATENATE(form!L38,".",form!M38),Лист1!$AK$14:$AM$59,3,0)</f>
        <v>#N/A</v>
      </c>
      <c r="AH64" s="332" t="e">
        <f>VLOOKUP(CONCATENATE(form!L38,".",form!N38),Лист1!$AO$13:$AQ$40,3,0)</f>
        <v>#N/A</v>
      </c>
      <c r="AJ64" s="290" t="e">
        <f>VLOOKUP(CONCATENATE(form!C38,".",form!D38,".",form!H38),Лист1!$DD:$DH,5,0)</f>
        <v>#N/A</v>
      </c>
      <c r="AK64" s="290" t="e">
        <f>VLOOKUP(CONCATENATE(form!C38,".",form!J38),Лист1!$DJ:$DN,5,0)</f>
        <v>#N/A</v>
      </c>
      <c r="AL64" s="290" t="e">
        <f>VLOOKUP(CONCATENATE(form!C38,".",form!D38,".",form!K38),Лист1!$DP:$DT,5,0)</f>
        <v>#N/A</v>
      </c>
      <c r="AM64" s="291"/>
      <c r="AN64" s="290" t="e">
        <f>VLOOKUP(CONCATENATE(form!C38,".",form!L38),Лист1!$DV:$DZ,5,0)</f>
        <v>#N/A</v>
      </c>
      <c r="AO64" s="290" t="e">
        <f>VLOOKUP(CONCATENATE(form!C38,".",form!M38),Лист1!$EB:$EF,5,0)</f>
        <v>#N/A</v>
      </c>
      <c r="AP64" s="612"/>
      <c r="AQ64" s="292" t="str">
        <f t="shared" si="23"/>
        <v>0</v>
      </c>
      <c r="AR64" s="623" t="e">
        <f>VLOOKUP(CONCATENATE(form!C38,".",form!G38),Лист1!$EH:$EL,5,0)</f>
        <v>#N/A</v>
      </c>
      <c r="AS64" s="293" t="e">
        <f t="shared" si="8"/>
        <v>#N/A</v>
      </c>
      <c r="AU64" s="616">
        <f t="shared" si="24"/>
        <v>0</v>
      </c>
      <c r="AV64" s="294">
        <f t="shared" si="25"/>
        <v>0</v>
      </c>
      <c r="AX64" s="294"/>
    </row>
    <row r="65" spans="2:50" s="273" customFormat="1" ht="24.9" customHeight="1" x14ac:dyDescent="0.2">
      <c r="B65" s="381">
        <v>11</v>
      </c>
      <c r="C65" s="577" t="str">
        <f t="shared" si="26"/>
        <v/>
      </c>
      <c r="D65" s="578" t="str">
        <f t="shared" si="27"/>
        <v/>
      </c>
      <c r="E65" s="466" t="str">
        <f>IF(OR(J65=0,J65=""),"",VLOOKUP(R65,Лист1!$M:$O,3,0))</f>
        <v/>
      </c>
      <c r="F65" s="334" t="str">
        <f t="shared" si="28"/>
        <v/>
      </c>
      <c r="G65" s="589" t="str">
        <f t="shared" si="29"/>
        <v/>
      </c>
      <c r="H65" s="335" t="str">
        <f t="shared" si="30"/>
        <v/>
      </c>
      <c r="J65" s="329">
        <f>form!R39</f>
        <v>0</v>
      </c>
      <c r="L65" s="275" t="str">
        <f t="shared" si="19"/>
        <v/>
      </c>
      <c r="M65" s="275" t="str">
        <f t="shared" si="20"/>
        <v/>
      </c>
      <c r="N65" s="275" t="str">
        <f t="shared" si="21"/>
        <v/>
      </c>
      <c r="O65" s="275" t="str">
        <f t="shared" si="22"/>
        <v/>
      </c>
      <c r="R65" s="330" t="e">
        <f>VLOOKUP(CONCATENATE(form!C39,".",form!D39),Лист1!$L:$N,2,0)</f>
        <v>#N/A</v>
      </c>
      <c r="S65" s="331" t="e">
        <f>VLOOKUP(CONCATENATE(form!C39,".",form!D39),Лист1!$Q:$S,2,0)</f>
        <v>#N/A</v>
      </c>
      <c r="T65" s="286" t="e">
        <f>VLOOKUP(CONCATENATE(form!E39,".",form!F39,".",form!G39),Лист1!$U:$W,2,0)</f>
        <v>#N/A</v>
      </c>
      <c r="U65" s="287" t="e">
        <f>VLOOKUP(form!I39,Лист1!$Y:$AA,2,0)</f>
        <v>#N/A</v>
      </c>
      <c r="V65" s="287" t="e">
        <f>VLOOKUP(form!J39,Лист1!$AC:$AE,2,0)</f>
        <v>#N/A</v>
      </c>
      <c r="W65" s="287" t="e">
        <f>VLOOKUP(form!K39,Лист1!$AG:$AI,2,0)</f>
        <v>#N/A</v>
      </c>
      <c r="X65" s="287" t="e">
        <f>VLOOKUP(CONCATENATE(form!L39,".",form!M39),Лист1!$AK$14:$AM$59,2,0)</f>
        <v>#N/A</v>
      </c>
      <c r="Y65" s="287" t="e">
        <f>VLOOKUP(CONCATENATE(form!L39,".",form!N39),Лист1!$AO$13:$AQ$40,2,0)</f>
        <v>#N/A</v>
      </c>
      <c r="AA65" s="275" t="e">
        <f>VLOOKUP(CONCATENATE(form!C39,".",form!D39),Лист1!$L:$N,3,0)</f>
        <v>#N/A</v>
      </c>
      <c r="AB65" s="275" t="e">
        <f>VLOOKUP(CONCATENATE(form!C39,".",form!D39),Лист1!$Q:$S,3,0)</f>
        <v>#N/A</v>
      </c>
      <c r="AC65" s="332" t="e">
        <f>VLOOKUP(CONCATENATE(form!E39,".",form!F39,".",form!G39),Лист1!$U:$W,3,0)</f>
        <v>#N/A</v>
      </c>
      <c r="AD65" s="332" t="e">
        <f>VLOOKUP(form!I39,Лист1!$Y:$AA,3,0)</f>
        <v>#N/A</v>
      </c>
      <c r="AE65" s="332" t="e">
        <f>VLOOKUP(form!J39,Лист1!$AC:$AE,3,0)</f>
        <v>#N/A</v>
      </c>
      <c r="AF65" s="333" t="e">
        <f>VLOOKUP(form!K39,Лист1!$AG:$AI,3,0)</f>
        <v>#N/A</v>
      </c>
      <c r="AG65" s="332" t="e">
        <f>VLOOKUP(CONCATENATE(form!L39,".",form!M39),Лист1!$AK$14:$AM$59,3,0)</f>
        <v>#N/A</v>
      </c>
      <c r="AH65" s="332" t="e">
        <f>VLOOKUP(CONCATENATE(form!L39,".",form!N39),Лист1!$AO$13:$AQ$40,3,0)</f>
        <v>#N/A</v>
      </c>
      <c r="AJ65" s="290" t="e">
        <f>VLOOKUP(CONCATENATE(form!C39,".",form!D39,".",form!H39),Лист1!$DD:$DH,5,0)</f>
        <v>#N/A</v>
      </c>
      <c r="AK65" s="290" t="e">
        <f>VLOOKUP(CONCATENATE(form!C39,".",form!J39),Лист1!$DJ:$DN,5,0)</f>
        <v>#N/A</v>
      </c>
      <c r="AL65" s="290" t="e">
        <f>VLOOKUP(CONCATENATE(form!C39,".",form!D39,".",form!K39),Лист1!$DP:$DT,5,0)</f>
        <v>#N/A</v>
      </c>
      <c r="AM65" s="291"/>
      <c r="AN65" s="290" t="e">
        <f>VLOOKUP(CONCATENATE(form!C39,".",form!L39),Лист1!$DV:$DZ,5,0)</f>
        <v>#N/A</v>
      </c>
      <c r="AO65" s="290" t="e">
        <f>VLOOKUP(CONCATENATE(form!C39,".",form!M39),Лист1!$EB:$EF,5,0)</f>
        <v>#N/A</v>
      </c>
      <c r="AP65" s="612"/>
      <c r="AQ65" s="292" t="str">
        <f t="shared" si="23"/>
        <v>0</v>
      </c>
      <c r="AR65" s="623" t="e">
        <f>VLOOKUP(CONCATENATE(form!C39,".",form!G39),Лист1!$EH:$EL,5,0)</f>
        <v>#N/A</v>
      </c>
      <c r="AS65" s="293" t="e">
        <f t="shared" si="8"/>
        <v>#N/A</v>
      </c>
      <c r="AU65" s="616">
        <f t="shared" si="24"/>
        <v>0</v>
      </c>
      <c r="AV65" s="294">
        <f t="shared" si="25"/>
        <v>0</v>
      </c>
      <c r="AX65" s="294"/>
    </row>
    <row r="66" spans="2:50" s="273" customFormat="1" ht="24.9" customHeight="1" x14ac:dyDescent="0.2">
      <c r="B66" s="381">
        <v>12</v>
      </c>
      <c r="C66" s="577" t="str">
        <f t="shared" si="26"/>
        <v/>
      </c>
      <c r="D66" s="578" t="str">
        <f t="shared" si="27"/>
        <v/>
      </c>
      <c r="E66" s="466" t="str">
        <f>IF(OR(J66=0,J66=""),"",VLOOKUP(R66,Лист1!$M:$O,3,0))</f>
        <v/>
      </c>
      <c r="F66" s="334" t="str">
        <f t="shared" si="28"/>
        <v/>
      </c>
      <c r="G66" s="589" t="str">
        <f t="shared" si="29"/>
        <v/>
      </c>
      <c r="H66" s="335" t="str">
        <f t="shared" si="30"/>
        <v/>
      </c>
      <c r="J66" s="329">
        <f>form!R40</f>
        <v>0</v>
      </c>
      <c r="L66" s="275" t="str">
        <f t="shared" si="19"/>
        <v/>
      </c>
      <c r="M66" s="275" t="str">
        <f t="shared" si="20"/>
        <v/>
      </c>
      <c r="N66" s="275" t="str">
        <f t="shared" si="21"/>
        <v/>
      </c>
      <c r="O66" s="275" t="str">
        <f t="shared" si="22"/>
        <v/>
      </c>
      <c r="R66" s="330" t="e">
        <f>VLOOKUP(CONCATENATE(form!C40,".",form!D40),Лист1!$L:$N,2,0)</f>
        <v>#N/A</v>
      </c>
      <c r="S66" s="331" t="e">
        <f>VLOOKUP(CONCATENATE(form!C40,".",form!D40),Лист1!$Q:$S,2,0)</f>
        <v>#N/A</v>
      </c>
      <c r="T66" s="286" t="e">
        <f>VLOOKUP(CONCATENATE(form!E40,".",form!F40,".",form!G40),Лист1!$U:$W,2,0)</f>
        <v>#N/A</v>
      </c>
      <c r="U66" s="287" t="e">
        <f>VLOOKUP(form!I40,Лист1!$Y:$AA,2,0)</f>
        <v>#N/A</v>
      </c>
      <c r="V66" s="287" t="e">
        <f>VLOOKUP(form!J40,Лист1!$AC:$AE,2,0)</f>
        <v>#N/A</v>
      </c>
      <c r="W66" s="287" t="e">
        <f>VLOOKUP(form!K40,Лист1!$AG:$AI,2,0)</f>
        <v>#N/A</v>
      </c>
      <c r="X66" s="287" t="e">
        <f>VLOOKUP(CONCATENATE(form!L40,".",form!M40),Лист1!$AK$14:$AM$59,2,0)</f>
        <v>#N/A</v>
      </c>
      <c r="Y66" s="287" t="e">
        <f>VLOOKUP(CONCATENATE(form!L40,".",form!N40),Лист1!$AO$13:$AQ$40,2,0)</f>
        <v>#N/A</v>
      </c>
      <c r="AA66" s="275" t="e">
        <f>VLOOKUP(CONCATENATE(form!C40,".",form!D40),Лист1!$L:$N,3,0)</f>
        <v>#N/A</v>
      </c>
      <c r="AB66" s="275" t="e">
        <f>VLOOKUP(CONCATENATE(form!C40,".",form!D40),Лист1!$Q:$S,3,0)</f>
        <v>#N/A</v>
      </c>
      <c r="AC66" s="332" t="e">
        <f>VLOOKUP(CONCATENATE(form!E40,".",form!F40,".",form!G40),Лист1!$U:$W,3,0)</f>
        <v>#N/A</v>
      </c>
      <c r="AD66" s="332" t="e">
        <f>VLOOKUP(form!I40,Лист1!$Y:$AA,3,0)</f>
        <v>#N/A</v>
      </c>
      <c r="AE66" s="332" t="e">
        <f>VLOOKUP(form!J40,Лист1!$AC:$AE,3,0)</f>
        <v>#N/A</v>
      </c>
      <c r="AF66" s="333" t="e">
        <f>VLOOKUP(form!K40,Лист1!$AG:$AI,3,0)</f>
        <v>#N/A</v>
      </c>
      <c r="AG66" s="332" t="e">
        <f>VLOOKUP(CONCATENATE(form!L40,".",form!M40),Лист1!$AK$14:$AM$59,3,0)</f>
        <v>#N/A</v>
      </c>
      <c r="AH66" s="332" t="e">
        <f>VLOOKUP(CONCATENATE(form!L40,".",form!N40),Лист1!$AO$13:$AQ$40,3,0)</f>
        <v>#N/A</v>
      </c>
      <c r="AJ66" s="290" t="e">
        <f>VLOOKUP(CONCATENATE(form!C40,".",form!D40,".",form!H40),Лист1!$DD:$DH,5,0)</f>
        <v>#N/A</v>
      </c>
      <c r="AK66" s="290" t="e">
        <f>VLOOKUP(CONCATENATE(form!C40,".",form!J40),Лист1!$DJ:$DN,5,0)</f>
        <v>#N/A</v>
      </c>
      <c r="AL66" s="290" t="e">
        <f>VLOOKUP(CONCATENATE(form!C40,".",form!D40,".",form!K40),Лист1!$DP:$DT,5,0)</f>
        <v>#N/A</v>
      </c>
      <c r="AM66" s="291"/>
      <c r="AN66" s="290" t="e">
        <f>VLOOKUP(CONCATENATE(form!C40,".",form!L40),Лист1!$DV:$DZ,5,0)</f>
        <v>#N/A</v>
      </c>
      <c r="AO66" s="290" t="e">
        <f>VLOOKUP(CONCATENATE(form!C40,".",form!M40),Лист1!$EB:$EF,5,0)</f>
        <v>#N/A</v>
      </c>
      <c r="AP66" s="612"/>
      <c r="AQ66" s="292" t="str">
        <f t="shared" si="23"/>
        <v>0</v>
      </c>
      <c r="AR66" s="623" t="e">
        <f>VLOOKUP(CONCATENATE(form!C40,".",form!G40),Лист1!$EH:$EL,5,0)</f>
        <v>#N/A</v>
      </c>
      <c r="AS66" s="293" t="e">
        <f t="shared" si="8"/>
        <v>#N/A</v>
      </c>
      <c r="AU66" s="616">
        <f t="shared" si="24"/>
        <v>0</v>
      </c>
      <c r="AV66" s="294">
        <f t="shared" si="25"/>
        <v>0</v>
      </c>
      <c r="AX66" s="294"/>
    </row>
    <row r="67" spans="2:50" s="273" customFormat="1" ht="24.9" customHeight="1" x14ac:dyDescent="0.2">
      <c r="B67" s="381">
        <v>13</v>
      </c>
      <c r="C67" s="577" t="str">
        <f t="shared" si="26"/>
        <v/>
      </c>
      <c r="D67" s="578" t="str">
        <f t="shared" si="27"/>
        <v/>
      </c>
      <c r="E67" s="466" t="str">
        <f>IF(OR(J67=0,J67=""),"",VLOOKUP(R67,Лист1!$M:$O,3,0))</f>
        <v/>
      </c>
      <c r="F67" s="334" t="str">
        <f t="shared" si="28"/>
        <v/>
      </c>
      <c r="G67" s="589" t="str">
        <f t="shared" si="29"/>
        <v/>
      </c>
      <c r="H67" s="335" t="str">
        <f t="shared" si="30"/>
        <v/>
      </c>
      <c r="J67" s="329">
        <f>form!R41</f>
        <v>0</v>
      </c>
      <c r="L67" s="275" t="str">
        <f t="shared" si="19"/>
        <v/>
      </c>
      <c r="M67" s="275" t="str">
        <f t="shared" si="20"/>
        <v/>
      </c>
      <c r="N67" s="275" t="str">
        <f t="shared" si="21"/>
        <v/>
      </c>
      <c r="O67" s="275" t="str">
        <f t="shared" si="22"/>
        <v/>
      </c>
      <c r="R67" s="330" t="e">
        <f>VLOOKUP(CONCATENATE(form!C41,".",form!D41),Лист1!$L:$N,2,0)</f>
        <v>#N/A</v>
      </c>
      <c r="S67" s="331" t="e">
        <f>VLOOKUP(CONCATENATE(form!C41,".",form!D41),Лист1!$Q:$S,2,0)</f>
        <v>#N/A</v>
      </c>
      <c r="T67" s="286" t="e">
        <f>VLOOKUP(CONCATENATE(form!E41,".",form!F41,".",form!G41),Лист1!$U:$W,2,0)</f>
        <v>#N/A</v>
      </c>
      <c r="U67" s="287" t="e">
        <f>VLOOKUP(form!I41,Лист1!$Y:$AA,2,0)</f>
        <v>#N/A</v>
      </c>
      <c r="V67" s="287" t="e">
        <f>VLOOKUP(form!J41,Лист1!$AC:$AE,2,0)</f>
        <v>#N/A</v>
      </c>
      <c r="W67" s="287" t="e">
        <f>VLOOKUP(form!K41,Лист1!$AG:$AI,2,0)</f>
        <v>#N/A</v>
      </c>
      <c r="X67" s="287" t="e">
        <f>VLOOKUP(CONCATENATE(form!L41,".",form!M41),Лист1!$AK$14:$AM$59,2,0)</f>
        <v>#N/A</v>
      </c>
      <c r="Y67" s="287" t="e">
        <f>VLOOKUP(CONCATENATE(form!L41,".",form!N41),Лист1!$AO$13:$AQ$40,2,0)</f>
        <v>#N/A</v>
      </c>
      <c r="AA67" s="275" t="e">
        <f>VLOOKUP(CONCATENATE(form!C41,".",form!D41),Лист1!$L:$N,3,0)</f>
        <v>#N/A</v>
      </c>
      <c r="AB67" s="275" t="e">
        <f>VLOOKUP(CONCATENATE(form!C41,".",form!D41),Лист1!$Q:$S,3,0)</f>
        <v>#N/A</v>
      </c>
      <c r="AC67" s="332" t="e">
        <f>VLOOKUP(CONCATENATE(form!E41,".",form!F41,".",form!G41),Лист1!$U:$W,3,0)</f>
        <v>#N/A</v>
      </c>
      <c r="AD67" s="332" t="e">
        <f>VLOOKUP(form!I41,Лист1!$Y:$AA,3,0)</f>
        <v>#N/A</v>
      </c>
      <c r="AE67" s="332" t="e">
        <f>VLOOKUP(form!J41,Лист1!$AC:$AE,3,0)</f>
        <v>#N/A</v>
      </c>
      <c r="AF67" s="333" t="e">
        <f>VLOOKUP(form!K41,Лист1!$AG:$AI,3,0)</f>
        <v>#N/A</v>
      </c>
      <c r="AG67" s="332" t="e">
        <f>VLOOKUP(CONCATENATE(form!L41,".",form!M41),Лист1!$AK$14:$AM$59,3,0)</f>
        <v>#N/A</v>
      </c>
      <c r="AH67" s="332" t="e">
        <f>VLOOKUP(CONCATENATE(form!L41,".",form!N41),Лист1!$AO$13:$AQ$40,3,0)</f>
        <v>#N/A</v>
      </c>
      <c r="AJ67" s="290" t="e">
        <f>VLOOKUP(CONCATENATE(form!C41,".",form!D41,".",form!H41),Лист1!$DD:$DH,5,0)</f>
        <v>#N/A</v>
      </c>
      <c r="AK67" s="290" t="e">
        <f>VLOOKUP(CONCATENATE(form!C41,".",form!J41),Лист1!$DJ:$DN,5,0)</f>
        <v>#N/A</v>
      </c>
      <c r="AL67" s="290" t="e">
        <f>VLOOKUP(CONCATENATE(form!C41,".",form!D41,".",form!K41),Лист1!$DP:$DT,5,0)</f>
        <v>#N/A</v>
      </c>
      <c r="AM67" s="291"/>
      <c r="AN67" s="290" t="e">
        <f>VLOOKUP(CONCATENATE(form!C41,".",form!L41),Лист1!$DV:$DZ,5,0)</f>
        <v>#N/A</v>
      </c>
      <c r="AO67" s="290" t="e">
        <f>VLOOKUP(CONCATENATE(form!C41,".",form!M41),Лист1!$EB:$EF,5,0)</f>
        <v>#N/A</v>
      </c>
      <c r="AP67" s="612"/>
      <c r="AQ67" s="292" t="str">
        <f t="shared" si="23"/>
        <v>0</v>
      </c>
      <c r="AR67" s="623" t="e">
        <f>VLOOKUP(CONCATENATE(form!C41,".",form!G41),Лист1!$EH:$EL,5,0)</f>
        <v>#N/A</v>
      </c>
      <c r="AS67" s="293" t="e">
        <f t="shared" si="8"/>
        <v>#N/A</v>
      </c>
      <c r="AU67" s="616">
        <f t="shared" si="24"/>
        <v>0</v>
      </c>
      <c r="AV67" s="294">
        <f t="shared" si="25"/>
        <v>0</v>
      </c>
      <c r="AX67" s="294"/>
    </row>
    <row r="68" spans="2:50" s="273" customFormat="1" ht="24.9" customHeight="1" x14ac:dyDescent="0.2">
      <c r="B68" s="381">
        <v>14</v>
      </c>
      <c r="C68" s="577" t="str">
        <f t="shared" si="26"/>
        <v/>
      </c>
      <c r="D68" s="578" t="str">
        <f t="shared" si="27"/>
        <v/>
      </c>
      <c r="E68" s="466" t="str">
        <f>IF(OR(J68=0,J68=""),"",VLOOKUP(R68,Лист1!$M:$O,3,0))</f>
        <v/>
      </c>
      <c r="F68" s="334" t="str">
        <f t="shared" si="28"/>
        <v/>
      </c>
      <c r="G68" s="589" t="str">
        <f t="shared" si="29"/>
        <v/>
      </c>
      <c r="H68" s="335" t="str">
        <f t="shared" si="30"/>
        <v/>
      </c>
      <c r="J68" s="329">
        <f>form!R42</f>
        <v>0</v>
      </c>
      <c r="L68" s="275" t="str">
        <f t="shared" si="19"/>
        <v/>
      </c>
      <c r="M68" s="275" t="str">
        <f t="shared" si="20"/>
        <v/>
      </c>
      <c r="N68" s="275" t="str">
        <f t="shared" si="21"/>
        <v/>
      </c>
      <c r="O68" s="275" t="str">
        <f t="shared" si="22"/>
        <v/>
      </c>
      <c r="R68" s="330" t="e">
        <f>VLOOKUP(CONCATENATE(form!C42,".",form!D42),Лист1!$L:$N,2,0)</f>
        <v>#N/A</v>
      </c>
      <c r="S68" s="331" t="e">
        <f>VLOOKUP(CONCATENATE(form!C42,".",form!D42),Лист1!$Q:$S,2,0)</f>
        <v>#N/A</v>
      </c>
      <c r="T68" s="286" t="e">
        <f>VLOOKUP(CONCATENATE(form!E42,".",form!F42,".",form!G42),Лист1!$U:$W,2,0)</f>
        <v>#N/A</v>
      </c>
      <c r="U68" s="287" t="e">
        <f>VLOOKUP(form!I42,Лист1!$Y:$AA,2,0)</f>
        <v>#N/A</v>
      </c>
      <c r="V68" s="287" t="e">
        <f>VLOOKUP(form!J42,Лист1!$AC:$AE,2,0)</f>
        <v>#N/A</v>
      </c>
      <c r="W68" s="287" t="e">
        <f>VLOOKUP(form!K42,Лист1!$AG:$AI,2,0)</f>
        <v>#N/A</v>
      </c>
      <c r="X68" s="287" t="e">
        <f>VLOOKUP(CONCATENATE(form!L42,".",form!M42),Лист1!$AK$14:$AM$59,2,0)</f>
        <v>#N/A</v>
      </c>
      <c r="Y68" s="287" t="e">
        <f>VLOOKUP(CONCATENATE(form!L42,".",form!N42),Лист1!$AO$13:$AQ$40,2,0)</f>
        <v>#N/A</v>
      </c>
      <c r="AA68" s="275" t="e">
        <f>VLOOKUP(CONCATENATE(form!C42,".",form!D42),Лист1!$L:$N,3,0)</f>
        <v>#N/A</v>
      </c>
      <c r="AB68" s="275" t="e">
        <f>VLOOKUP(CONCATENATE(form!C42,".",form!D42),Лист1!$Q:$S,3,0)</f>
        <v>#N/A</v>
      </c>
      <c r="AC68" s="332" t="e">
        <f>VLOOKUP(CONCATENATE(form!E42,".",form!F42,".",form!G42),Лист1!$U:$W,3,0)</f>
        <v>#N/A</v>
      </c>
      <c r="AD68" s="332" t="e">
        <f>VLOOKUP(form!I42,Лист1!$Y:$AA,3,0)</f>
        <v>#N/A</v>
      </c>
      <c r="AE68" s="332" t="e">
        <f>VLOOKUP(form!J42,Лист1!$AC:$AE,3,0)</f>
        <v>#N/A</v>
      </c>
      <c r="AF68" s="333" t="e">
        <f>VLOOKUP(form!K42,Лист1!$AG:$AI,3,0)</f>
        <v>#N/A</v>
      </c>
      <c r="AG68" s="332" t="e">
        <f>VLOOKUP(CONCATENATE(form!L42,".",form!M42),Лист1!$AK$14:$AM$59,3,0)</f>
        <v>#N/A</v>
      </c>
      <c r="AH68" s="332" t="e">
        <f>VLOOKUP(CONCATENATE(form!L42,".",form!N42),Лист1!$AO$13:$AQ$40,3,0)</f>
        <v>#N/A</v>
      </c>
      <c r="AJ68" s="290" t="e">
        <f>VLOOKUP(CONCATENATE(form!C42,".",form!D42,".",form!H42),Лист1!$DD:$DH,5,0)</f>
        <v>#N/A</v>
      </c>
      <c r="AK68" s="290" t="e">
        <f>VLOOKUP(CONCATENATE(form!C42,".",form!J42),Лист1!$DJ:$DN,5,0)</f>
        <v>#N/A</v>
      </c>
      <c r="AL68" s="290" t="e">
        <f>VLOOKUP(CONCATENATE(form!C42,".",form!D42,".",form!K42),Лист1!$DP:$DT,5,0)</f>
        <v>#N/A</v>
      </c>
      <c r="AM68" s="291"/>
      <c r="AN68" s="290" t="e">
        <f>VLOOKUP(CONCATENATE(form!C42,".",form!L42),Лист1!$DV:$DZ,5,0)</f>
        <v>#N/A</v>
      </c>
      <c r="AO68" s="290" t="e">
        <f>VLOOKUP(CONCATENATE(form!C42,".",form!M42),Лист1!$EB:$EF,5,0)</f>
        <v>#N/A</v>
      </c>
      <c r="AP68" s="612"/>
      <c r="AQ68" s="292" t="str">
        <f t="shared" si="23"/>
        <v>0</v>
      </c>
      <c r="AR68" s="623" t="e">
        <f>VLOOKUP(CONCATENATE(form!C42,".",form!G42),Лист1!$EH:$EL,5,0)</f>
        <v>#N/A</v>
      </c>
      <c r="AS68" s="293" t="e">
        <f t="shared" si="8"/>
        <v>#N/A</v>
      </c>
      <c r="AU68" s="616">
        <f t="shared" si="24"/>
        <v>0</v>
      </c>
      <c r="AV68" s="294">
        <f t="shared" si="25"/>
        <v>0</v>
      </c>
      <c r="AX68" s="294"/>
    </row>
    <row r="69" spans="2:50" s="273" customFormat="1" ht="24.9" customHeight="1" x14ac:dyDescent="0.2">
      <c r="B69" s="382">
        <v>15</v>
      </c>
      <c r="C69" s="577" t="str">
        <f t="shared" si="26"/>
        <v/>
      </c>
      <c r="D69" s="578" t="str">
        <f t="shared" si="27"/>
        <v/>
      </c>
      <c r="E69" s="466" t="str">
        <f>IF(OR(J69=0,J69=""),"",VLOOKUP(R69,Лист1!$M:$O,3,0))</f>
        <v/>
      </c>
      <c r="F69" s="334" t="str">
        <f t="shared" si="28"/>
        <v/>
      </c>
      <c r="G69" s="589" t="str">
        <f t="shared" si="29"/>
        <v/>
      </c>
      <c r="H69" s="335" t="str">
        <f t="shared" si="30"/>
        <v/>
      </c>
      <c r="J69" s="329">
        <f>form!R43</f>
        <v>0</v>
      </c>
      <c r="L69" s="336" t="str">
        <f t="shared" si="19"/>
        <v/>
      </c>
      <c r="M69" s="336" t="str">
        <f t="shared" si="20"/>
        <v/>
      </c>
      <c r="N69" s="336" t="str">
        <f t="shared" si="21"/>
        <v/>
      </c>
      <c r="O69" s="336" t="str">
        <f t="shared" si="22"/>
        <v/>
      </c>
      <c r="P69" s="276"/>
      <c r="Q69" s="276"/>
      <c r="R69" s="337" t="e">
        <f>VLOOKUP(CONCATENATE(form!C43,".",form!D43),Лист1!$L:$N,2,0)</f>
        <v>#N/A</v>
      </c>
      <c r="S69" s="338" t="e">
        <f>VLOOKUP(CONCATENATE(form!C43,".",form!D43),Лист1!$Q:$S,2,0)</f>
        <v>#N/A</v>
      </c>
      <c r="T69" s="317" t="e">
        <f>VLOOKUP(CONCATENATE(form!E43,".",form!F43,".",form!G43),Лист1!$U:$W,2,0)</f>
        <v>#N/A</v>
      </c>
      <c r="U69" s="318" t="e">
        <f>VLOOKUP(form!I43,Лист1!$Y:$AA,2,0)</f>
        <v>#N/A</v>
      </c>
      <c r="V69" s="318" t="e">
        <f>VLOOKUP(form!J43,Лист1!$AC:$AE,2,0)</f>
        <v>#N/A</v>
      </c>
      <c r="W69" s="318" t="e">
        <f>VLOOKUP(form!K43,Лист1!$AG:$AI,2,0)</f>
        <v>#N/A</v>
      </c>
      <c r="X69" s="318" t="e">
        <f>VLOOKUP(CONCATENATE(form!L43,".",form!M43),Лист1!$AK$14:$AM$59,2,0)</f>
        <v>#N/A</v>
      </c>
      <c r="Y69" s="318" t="e">
        <f>VLOOKUP(CONCATENATE(form!L43,".",form!N43),Лист1!$AO$13:$AQ$40,2,0)</f>
        <v>#N/A</v>
      </c>
      <c r="AA69" s="336" t="e">
        <f>VLOOKUP(CONCATENATE(form!C43,".",form!D43),Лист1!$L:$N,3,0)</f>
        <v>#N/A</v>
      </c>
      <c r="AB69" s="336" t="e">
        <f>VLOOKUP(CONCATENATE(form!C43,".",form!D43),Лист1!$Q:$S,3,0)</f>
        <v>#N/A</v>
      </c>
      <c r="AC69" s="320" t="e">
        <f>VLOOKUP(CONCATENATE(form!E43,".",form!F43,".",form!G43),Лист1!$U:$W,3,0)</f>
        <v>#N/A</v>
      </c>
      <c r="AD69" s="320" t="e">
        <f>VLOOKUP(form!I43,Лист1!$Y:$AA,3,0)</f>
        <v>#N/A</v>
      </c>
      <c r="AE69" s="320" t="e">
        <f>VLOOKUP(form!J43,Лист1!$AC:$AE,3,0)</f>
        <v>#N/A</v>
      </c>
      <c r="AF69" s="339" t="e">
        <f>VLOOKUP(form!K43,Лист1!$AG:$AI,3,0)</f>
        <v>#N/A</v>
      </c>
      <c r="AG69" s="320" t="e">
        <f>VLOOKUP(CONCATENATE(form!L43,".",form!M43),Лист1!$AK$14:$AM$59,3,0)</f>
        <v>#N/A</v>
      </c>
      <c r="AH69" s="320" t="e">
        <f>VLOOKUP(CONCATENATE(form!L43,".",form!N43),Лист1!$AO$13:$AQ$40,3,0)</f>
        <v>#N/A</v>
      </c>
      <c r="AJ69" s="321" t="e">
        <f>VLOOKUP(CONCATENATE(form!C43,".",form!D43,".",form!H43),Лист1!$DD:$DH,5,0)</f>
        <v>#N/A</v>
      </c>
      <c r="AK69" s="321" t="e">
        <f>VLOOKUP(CONCATENATE(form!C43,".",form!J43),Лист1!$DJ:$DN,5,0)</f>
        <v>#N/A</v>
      </c>
      <c r="AL69" s="321" t="e">
        <f>VLOOKUP(CONCATENATE(form!C43,".",form!D43,".",form!K43),Лист1!$DP:$DT,5,0)</f>
        <v>#N/A</v>
      </c>
      <c r="AM69" s="340"/>
      <c r="AN69" s="321" t="e">
        <f>VLOOKUP(CONCATENATE(form!C43,".",form!L43),Лист1!$DV:$DZ,5,0)</f>
        <v>#N/A</v>
      </c>
      <c r="AO69" s="321" t="e">
        <f>VLOOKUP(CONCATENATE(form!C43,".",form!M43),Лист1!$EB:$EF,5,0)</f>
        <v>#N/A</v>
      </c>
      <c r="AP69" s="614"/>
      <c r="AQ69" s="341" t="str">
        <f t="shared" si="23"/>
        <v>0</v>
      </c>
      <c r="AR69" s="625" t="e">
        <f>VLOOKUP(CONCATENATE(form!C43,".",form!G43),Лист1!$EH:$EL,5,0)</f>
        <v>#N/A</v>
      </c>
      <c r="AS69" s="323" t="e">
        <f t="shared" si="8"/>
        <v>#N/A</v>
      </c>
      <c r="AU69" s="618">
        <f t="shared" si="24"/>
        <v>0</v>
      </c>
      <c r="AV69" s="324">
        <f t="shared" si="25"/>
        <v>0</v>
      </c>
      <c r="AX69" s="294"/>
    </row>
    <row r="70" spans="2:50" s="273" customFormat="1" ht="24.9" customHeight="1" x14ac:dyDescent="0.25">
      <c r="B70" s="569" t="str">
        <f>form!B45</f>
        <v>Розділ № 3: ДВЕРНІ КОРОБКИ / РОЗСУВНІ СИСТЕМИ</v>
      </c>
      <c r="C70" s="268"/>
      <c r="D70" s="463"/>
      <c r="E70" s="464"/>
      <c r="F70" s="271" t="str">
        <f>IF(H70="","","ИТОГО:")</f>
        <v/>
      </c>
      <c r="G70" s="585" t="str">
        <f>IF(J70=0,"",SUM(G71:G85))</f>
        <v/>
      </c>
      <c r="H70" s="272" t="str">
        <f>IF(J70=0,"",SUM(H71:H85))</f>
        <v/>
      </c>
      <c r="J70" s="325">
        <f>SUM(J71:J85)</f>
        <v>0</v>
      </c>
      <c r="L70" s="336"/>
      <c r="M70" s="336"/>
      <c r="N70" s="336"/>
      <c r="O70" s="336"/>
      <c r="P70" s="276"/>
      <c r="Q70" s="276"/>
      <c r="R70" s="277" t="s">
        <v>143</v>
      </c>
      <c r="S70" s="277" t="s">
        <v>142</v>
      </c>
      <c r="T70" s="277" t="s">
        <v>137</v>
      </c>
      <c r="U70" s="277" t="s">
        <v>141</v>
      </c>
      <c r="V70" s="277" t="s">
        <v>76</v>
      </c>
      <c r="W70" s="277" t="s">
        <v>78</v>
      </c>
      <c r="X70" s="277" t="s">
        <v>145</v>
      </c>
      <c r="Y70" s="277" t="s">
        <v>146</v>
      </c>
      <c r="AA70" s="277" t="s">
        <v>143</v>
      </c>
      <c r="AB70" s="277" t="s">
        <v>142</v>
      </c>
      <c r="AC70" s="277" t="s">
        <v>137</v>
      </c>
      <c r="AD70" s="277" t="s">
        <v>141</v>
      </c>
      <c r="AE70" s="277" t="s">
        <v>76</v>
      </c>
      <c r="AF70" s="277" t="s">
        <v>78</v>
      </c>
      <c r="AG70" s="277" t="s">
        <v>145</v>
      </c>
      <c r="AH70" s="277" t="s">
        <v>146</v>
      </c>
      <c r="AJ70" s="277" t="s">
        <v>121</v>
      </c>
      <c r="AK70" s="277" t="s">
        <v>205</v>
      </c>
      <c r="AL70" s="277" t="s">
        <v>144</v>
      </c>
      <c r="AM70" s="278"/>
      <c r="AN70" s="277" t="s">
        <v>173</v>
      </c>
      <c r="AO70" s="277" t="s">
        <v>86</v>
      </c>
      <c r="AP70" s="277" t="s">
        <v>43</v>
      </c>
      <c r="AQ70" s="322"/>
      <c r="AR70" s="322"/>
      <c r="AS70" s="277" t="s">
        <v>287</v>
      </c>
      <c r="AU70" s="620"/>
      <c r="AV70" s="342" t="s">
        <v>179</v>
      </c>
    </row>
    <row r="71" spans="2:50" s="273" customFormat="1" ht="24.9" customHeight="1" x14ac:dyDescent="0.2">
      <c r="B71" s="380">
        <v>1</v>
      </c>
      <c r="C71" s="575" t="str">
        <f>IF(ISNA(L71),"",L71)</f>
        <v/>
      </c>
      <c r="D71" s="576" t="str">
        <f>IF(ISNA(M71),"",M71)</f>
        <v/>
      </c>
      <c r="E71" s="465" t="str">
        <f>IF(OR(J71=0,J71=""),"",VLOOKUP(R71,Лист1!$M:$O,3,0))</f>
        <v/>
      </c>
      <c r="F71" s="327" t="str">
        <f>IF(ISNA(N71),"",N71)</f>
        <v/>
      </c>
      <c r="G71" s="588" t="str">
        <f>IF(J71=0,"",J71)</f>
        <v/>
      </c>
      <c r="H71" s="328" t="str">
        <f>IF(ISNA(O71),"",O71)</f>
        <v/>
      </c>
      <c r="J71" s="329">
        <f>form!R47</f>
        <v>0</v>
      </c>
      <c r="L71" s="275" t="str">
        <f>IF(G71="","",CONCATENATE(R71,".",T71,".",S71,".",U71,".",X71,".",Y71))</f>
        <v/>
      </c>
      <c r="M71" s="275" t="str">
        <f>IF(G71="","",CONCATENATE(AA71,", ",AB71,", ",AC71,", ",AD71,", ",AG71,", ",AH71))</f>
        <v/>
      </c>
      <c r="N71" s="275" t="str">
        <f>IF(G71="","",AS71*(1-$G$1))</f>
        <v/>
      </c>
      <c r="O71" s="275" t="str">
        <f>IF(F71="","",G71*F71)</f>
        <v/>
      </c>
      <c r="R71" s="330" t="e">
        <f>VLOOKUP(CONCATENATE(form!C47,".",form!D47),Лист1!$L:$N,2,0)</f>
        <v>#N/A</v>
      </c>
      <c r="S71" s="331" t="e">
        <f>VLOOKUP(CONCATENATE(form!C47,".",form!D47),Лист1!$Q:$S,2,0)</f>
        <v>#N/A</v>
      </c>
      <c r="T71" s="331" t="e">
        <f>VLOOKUP(CONCATENATE(form!C47,".",form!E47,".",form!F47,".",form!G47),Лист1!$U:$W,2,0)</f>
        <v>#N/A</v>
      </c>
      <c r="U71" s="343" t="e">
        <f>VLOOKUP(form!I47,Лист1!$Y:$AA,2,0)</f>
        <v>#N/A</v>
      </c>
      <c r="V71" s="301"/>
      <c r="W71" s="301"/>
      <c r="X71" s="287" t="e">
        <f>VLOOKUP(form!L47,Лист1!$AK$63:$AM$77,2,0)</f>
        <v>#N/A</v>
      </c>
      <c r="Y71" s="287" t="e">
        <f>VLOOKUP(CONCATENATE(form!L47,".",form!N47),Лист1!$AO$43:$AQ$60,2,0)</f>
        <v>#N/A</v>
      </c>
      <c r="AA71" s="332" t="e">
        <f>VLOOKUP(CONCATENATE(form!C47,".",form!D47),Лист1!$L:$N,3,0)</f>
        <v>#N/A</v>
      </c>
      <c r="AB71" s="332" t="e">
        <f>VLOOKUP(CONCATENATE(form!C47,".",form!D47),Лист1!$Q:$S,3,0)</f>
        <v>#N/A</v>
      </c>
      <c r="AC71" s="275" t="e">
        <f>VLOOKUP(CONCATENATE(form!C47,".",form!E47,".",form!F47,".",form!G47),Лист1!$U:$W,3,0)</f>
        <v>#N/A</v>
      </c>
      <c r="AD71" s="288" t="e">
        <f>VLOOKUP(form!I47,Лист1!$Y:$AA,3,0)</f>
        <v>#N/A</v>
      </c>
      <c r="AE71" s="301"/>
      <c r="AF71" s="301"/>
      <c r="AG71" s="287" t="e">
        <f>VLOOKUP(form!L47,Лист1!$AK$63:$AM$77,3,0)</f>
        <v>#N/A</v>
      </c>
      <c r="AH71" s="332" t="e">
        <f>VLOOKUP(CONCATENATE(form!L47,".",form!N47),Лист1!$AO$43:$AQ$60,3,0)</f>
        <v>#N/A</v>
      </c>
      <c r="AJ71" s="344" t="e">
        <f>VLOOKUP(CONCATENATE(form!C47,".",form!D47,".",form!H47),Лист1!$DD:$DH,5,0)</f>
        <v>#N/A</v>
      </c>
      <c r="AK71" s="301"/>
      <c r="AL71" s="301"/>
      <c r="AM71" s="301"/>
      <c r="AN71" s="290" t="e">
        <f>VLOOKUP(CONCATENATE(form!C47,".",form!L47),Лист1!$DV:$DZ,5,0)</f>
        <v>#N/A</v>
      </c>
      <c r="AO71" s="301"/>
      <c r="AP71" s="344" t="e">
        <f>VLOOKUP(CONCATENATE(form!C47,".",form!D47,".",form!H47,".",form!F47),Лист1!$EH:$EL,5,0)</f>
        <v>#N/A</v>
      </c>
      <c r="AQ71" s="302"/>
      <c r="AR71" s="302"/>
      <c r="AS71" s="293" t="e">
        <f t="shared" si="8"/>
        <v>#N/A</v>
      </c>
      <c r="AU71" s="616">
        <f>IF(ISNA(AV71),"0",AV71)</f>
        <v>0</v>
      </c>
      <c r="AV71" s="294">
        <f>IF(G71="",0,ROUND(AS71*G71,2))</f>
        <v>0</v>
      </c>
      <c r="AX71" s="294"/>
    </row>
    <row r="72" spans="2:50" s="273" customFormat="1" ht="24.9" customHeight="1" x14ac:dyDescent="0.2">
      <c r="B72" s="381">
        <v>2</v>
      </c>
      <c r="C72" s="577" t="str">
        <f t="shared" ref="C72:C85" si="31">IF(ISNA(L72),"",L72)</f>
        <v/>
      </c>
      <c r="D72" s="578" t="str">
        <f t="shared" ref="D72:D85" si="32">IF(ISNA(M72),"",M72)</f>
        <v/>
      </c>
      <c r="E72" s="466" t="str">
        <f>IF(OR(J72=0,J72=""),"",VLOOKUP(R72,Лист1!$M:$O,3,0))</f>
        <v/>
      </c>
      <c r="F72" s="334" t="str">
        <f t="shared" ref="F72:F85" si="33">IF(ISNA(N72),"",N72)</f>
        <v/>
      </c>
      <c r="G72" s="589" t="str">
        <f t="shared" ref="G72:G85" si="34">IF(J72=0,"",J72)</f>
        <v/>
      </c>
      <c r="H72" s="335" t="str">
        <f t="shared" ref="H72:H85" si="35">IF(ISNA(O72),"",O72)</f>
        <v/>
      </c>
      <c r="J72" s="345">
        <f>form!R48</f>
        <v>0</v>
      </c>
      <c r="K72" s="255"/>
      <c r="L72" s="346" t="str">
        <f t="shared" ref="L72:L85" si="36">IF(G72="","",CONCATENATE(R72,".",T72,".",S72,".",U72,".",X72,".",Y72))</f>
        <v/>
      </c>
      <c r="M72" s="346" t="str">
        <f t="shared" ref="M72:M85" si="37">IF(G72="","",CONCATENATE(AA72,", ",AB72,", ",AC72,", ",AD72,", ",AG72,", ",AH72))</f>
        <v/>
      </c>
      <c r="N72" s="346" t="str">
        <f t="shared" ref="N72:N85" si="38">IF(G72="","",AS72*(1-$G$1))</f>
        <v/>
      </c>
      <c r="O72" s="346" t="str">
        <f t="shared" ref="O72:O85" si="39">IF(F72="","",G72*F72)</f>
        <v/>
      </c>
      <c r="P72" s="255"/>
      <c r="Q72" s="255"/>
      <c r="R72" s="347" t="e">
        <f>VLOOKUP(CONCATENATE(form!C48,".",form!D48),Лист1!$L:$N,2,0)</f>
        <v>#N/A</v>
      </c>
      <c r="S72" s="348" t="e">
        <f>VLOOKUP(CONCATENATE(form!C48,".",form!D48),Лист1!$Q:$S,2,0)</f>
        <v>#N/A</v>
      </c>
      <c r="T72" s="348" t="e">
        <f>VLOOKUP(CONCATENATE(form!C48,".",form!E48,".",form!F48,".",form!G48),Лист1!$U:$W,2,0)</f>
        <v>#N/A</v>
      </c>
      <c r="U72" s="299" t="e">
        <f>VLOOKUP(form!I48,Лист1!$Y:$AA,2,0)</f>
        <v>#N/A</v>
      </c>
      <c r="V72" s="298"/>
      <c r="W72" s="298"/>
      <c r="X72" s="299" t="e">
        <f>VLOOKUP(form!L48,Лист1!$AK$63:$AM$77,2,0)</f>
        <v>#N/A</v>
      </c>
      <c r="Y72" s="299" t="e">
        <f>VLOOKUP(CONCATENATE(form!L48,".",form!N48),Лист1!$AO$43:$AQ$60,2,0)</f>
        <v>#N/A</v>
      </c>
      <c r="Z72" s="255"/>
      <c r="AA72" s="295" t="e">
        <f>VLOOKUP(CONCATENATE(form!C48,".",form!D48),Лист1!$L:$N,3,0)</f>
        <v>#N/A</v>
      </c>
      <c r="AB72" s="295" t="e">
        <f>VLOOKUP(CONCATENATE(form!C48,".",form!D48),Лист1!$Q:$S,3,0)</f>
        <v>#N/A</v>
      </c>
      <c r="AC72" s="346" t="e">
        <f>VLOOKUP(CONCATENATE(form!C48,".",form!E48,".",form!F48,".",form!G48),Лист1!$U:$W,3,0)</f>
        <v>#N/A</v>
      </c>
      <c r="AD72" s="295" t="e">
        <f>VLOOKUP(form!I48,Лист1!$Y:$AA,3,0)</f>
        <v>#N/A</v>
      </c>
      <c r="AE72" s="298"/>
      <c r="AF72" s="298"/>
      <c r="AG72" s="299" t="e">
        <f>VLOOKUP(form!L48,Лист1!$AK$63:$AM$77,3,0)</f>
        <v>#N/A</v>
      </c>
      <c r="AH72" s="295" t="e">
        <f>VLOOKUP(CONCATENATE(form!L48,".",form!N48),Лист1!$AO$43:$AQ$60,3,0)</f>
        <v>#N/A</v>
      </c>
      <c r="AI72" s="255"/>
      <c r="AJ72" s="300" t="e">
        <f>VLOOKUP(CONCATENATE(form!C48,".",form!D48,".",form!H48),Лист1!$DD:$DH,5,0)</f>
        <v>#N/A</v>
      </c>
      <c r="AK72" s="298"/>
      <c r="AL72" s="298"/>
      <c r="AM72" s="298"/>
      <c r="AN72" s="300" t="e">
        <f>VLOOKUP(CONCATENATE(form!C48,".",form!L48),Лист1!$DV:$DZ,5,0)</f>
        <v>#N/A</v>
      </c>
      <c r="AO72" s="298"/>
      <c r="AP72" s="300" t="e">
        <f>VLOOKUP(CONCATENATE(form!C48,".",form!D48,".",form!H48,".",form!F48),Лист1!$EH:$EL,5,0)</f>
        <v>#N/A</v>
      </c>
      <c r="AQ72" s="349"/>
      <c r="AR72" s="349"/>
      <c r="AS72" s="350" t="e">
        <f t="shared" si="8"/>
        <v>#N/A</v>
      </c>
      <c r="AT72" s="255"/>
      <c r="AU72" s="621">
        <f t="shared" ref="AU72:AU85" si="40">IF(ISNA(AV72),"0",AV72)</f>
        <v>0</v>
      </c>
      <c r="AV72" s="351">
        <f t="shared" ref="AV72:AV85" si="41">IF(G72="",0,ROUND(AS72*G72,2))</f>
        <v>0</v>
      </c>
      <c r="AX72" s="294"/>
    </row>
    <row r="73" spans="2:50" s="273" customFormat="1" ht="24.9" customHeight="1" x14ac:dyDescent="0.2">
      <c r="B73" s="381">
        <v>3</v>
      </c>
      <c r="C73" s="577" t="str">
        <f t="shared" si="31"/>
        <v/>
      </c>
      <c r="D73" s="578" t="str">
        <f t="shared" si="32"/>
        <v/>
      </c>
      <c r="E73" s="466" t="str">
        <f>IF(OR(J73=0,J73=""),"",VLOOKUP(R73,Лист1!$M:$O,3,0))</f>
        <v/>
      </c>
      <c r="F73" s="334" t="str">
        <f t="shared" si="33"/>
        <v/>
      </c>
      <c r="G73" s="589" t="str">
        <f t="shared" si="34"/>
        <v/>
      </c>
      <c r="H73" s="335" t="str">
        <f t="shared" si="35"/>
        <v/>
      </c>
      <c r="J73" s="345">
        <f>form!R49</f>
        <v>0</v>
      </c>
      <c r="K73" s="255"/>
      <c r="L73" s="346" t="str">
        <f t="shared" si="36"/>
        <v/>
      </c>
      <c r="M73" s="346" t="str">
        <f t="shared" si="37"/>
        <v/>
      </c>
      <c r="N73" s="346" t="str">
        <f t="shared" si="38"/>
        <v/>
      </c>
      <c r="O73" s="346" t="str">
        <f t="shared" si="39"/>
        <v/>
      </c>
      <c r="P73" s="255"/>
      <c r="Q73" s="255"/>
      <c r="R73" s="347" t="e">
        <f>VLOOKUP(CONCATENATE(form!C49,".",form!D49),Лист1!$L:$N,2,0)</f>
        <v>#N/A</v>
      </c>
      <c r="S73" s="348" t="e">
        <f>VLOOKUP(CONCATENATE(form!C49,".",form!D49),Лист1!$Q:$S,2,0)</f>
        <v>#N/A</v>
      </c>
      <c r="T73" s="348" t="e">
        <f>VLOOKUP(CONCATENATE(form!C49,".",form!E49,".",form!F49,".",form!G49),Лист1!$U:$W,2,0)</f>
        <v>#N/A</v>
      </c>
      <c r="U73" s="299" t="e">
        <f>VLOOKUP(form!I49,Лист1!$Y:$AA,2,0)</f>
        <v>#N/A</v>
      </c>
      <c r="V73" s="298"/>
      <c r="W73" s="298"/>
      <c r="X73" s="299" t="e">
        <f>VLOOKUP(form!L49,Лист1!$AK$63:$AM$77,2,0)</f>
        <v>#N/A</v>
      </c>
      <c r="Y73" s="299" t="e">
        <f>VLOOKUP(CONCATENATE(form!L49,".",form!N49),Лист1!$AO$43:$AQ$60,2,0)</f>
        <v>#N/A</v>
      </c>
      <c r="Z73" s="255"/>
      <c r="AA73" s="295" t="e">
        <f>VLOOKUP(CONCATENATE(form!C49,".",form!D49),Лист1!$L:$N,3,0)</f>
        <v>#N/A</v>
      </c>
      <c r="AB73" s="295" t="e">
        <f>VLOOKUP(CONCATENATE(form!C49,".",form!D49),Лист1!$Q:$S,3,0)</f>
        <v>#N/A</v>
      </c>
      <c r="AC73" s="346" t="e">
        <f>VLOOKUP(CONCATENATE(form!C49,".",form!E49,".",form!F49,".",form!G49),Лист1!$U:$W,3,0)</f>
        <v>#N/A</v>
      </c>
      <c r="AD73" s="295" t="e">
        <f>VLOOKUP(form!I49,Лист1!$Y:$AA,3,0)</f>
        <v>#N/A</v>
      </c>
      <c r="AE73" s="298"/>
      <c r="AF73" s="298"/>
      <c r="AG73" s="299" t="e">
        <f>VLOOKUP(form!L49,Лист1!$AK$63:$AM$77,3,0)</f>
        <v>#N/A</v>
      </c>
      <c r="AH73" s="295" t="e">
        <f>VLOOKUP(CONCATENATE(form!L49,".",form!N49),Лист1!$AO$43:$AQ$60,3,0)</f>
        <v>#N/A</v>
      </c>
      <c r="AI73" s="255"/>
      <c r="AJ73" s="300" t="e">
        <f>VLOOKUP(CONCATENATE(form!C49,".",form!D49,".",form!H49),Лист1!$DD:$DH,5,0)</f>
        <v>#N/A</v>
      </c>
      <c r="AK73" s="298"/>
      <c r="AL73" s="298"/>
      <c r="AM73" s="298"/>
      <c r="AN73" s="300" t="e">
        <f>VLOOKUP(CONCATENATE(form!C49,".",form!L49),Лист1!$DV:$DZ,5,0)</f>
        <v>#N/A</v>
      </c>
      <c r="AO73" s="298"/>
      <c r="AP73" s="300" t="e">
        <f>VLOOKUP(CONCATENATE(form!C49,".",form!D49,".",form!H49,".",form!F49),Лист1!$EH:$EL,5,0)</f>
        <v>#N/A</v>
      </c>
      <c r="AQ73" s="349"/>
      <c r="AR73" s="349"/>
      <c r="AS73" s="350" t="e">
        <f t="shared" si="8"/>
        <v>#N/A</v>
      </c>
      <c r="AT73" s="255"/>
      <c r="AU73" s="621">
        <f t="shared" si="40"/>
        <v>0</v>
      </c>
      <c r="AV73" s="351">
        <f t="shared" si="41"/>
        <v>0</v>
      </c>
      <c r="AX73" s="294"/>
    </row>
    <row r="74" spans="2:50" s="273" customFormat="1" ht="24.9" customHeight="1" x14ac:dyDescent="0.2">
      <c r="B74" s="381">
        <v>4</v>
      </c>
      <c r="C74" s="577" t="str">
        <f t="shared" si="31"/>
        <v/>
      </c>
      <c r="D74" s="578" t="str">
        <f t="shared" si="32"/>
        <v/>
      </c>
      <c r="E74" s="466" t="str">
        <f>IF(OR(J74=0,J74=""),"",VLOOKUP(R74,Лист1!$M:$O,3,0))</f>
        <v/>
      </c>
      <c r="F74" s="334" t="str">
        <f t="shared" si="33"/>
        <v/>
      </c>
      <c r="G74" s="589" t="str">
        <f t="shared" si="34"/>
        <v/>
      </c>
      <c r="H74" s="335" t="str">
        <f t="shared" si="35"/>
        <v/>
      </c>
      <c r="J74" s="345">
        <f>form!R50</f>
        <v>0</v>
      </c>
      <c r="K74" s="255"/>
      <c r="L74" s="346" t="str">
        <f t="shared" si="36"/>
        <v/>
      </c>
      <c r="M74" s="346" t="str">
        <f t="shared" si="37"/>
        <v/>
      </c>
      <c r="N74" s="346" t="str">
        <f t="shared" si="38"/>
        <v/>
      </c>
      <c r="O74" s="346" t="str">
        <f t="shared" si="39"/>
        <v/>
      </c>
      <c r="P74" s="255"/>
      <c r="Q74" s="255"/>
      <c r="R74" s="347" t="e">
        <f>VLOOKUP(CONCATENATE(form!C50,".",form!D50),Лист1!$L:$N,2,0)</f>
        <v>#N/A</v>
      </c>
      <c r="S74" s="348" t="e">
        <f>VLOOKUP(CONCATENATE(form!C50,".",form!D50),Лист1!$Q:$S,2,0)</f>
        <v>#N/A</v>
      </c>
      <c r="T74" s="348" t="e">
        <f>VLOOKUP(CONCATENATE(form!C50,".",form!E50,".",form!F50,".",form!G50),Лист1!$U:$W,2,0)</f>
        <v>#N/A</v>
      </c>
      <c r="U74" s="299" t="e">
        <f>VLOOKUP(form!I50,Лист1!$Y:$AA,2,0)</f>
        <v>#N/A</v>
      </c>
      <c r="V74" s="298"/>
      <c r="W74" s="298"/>
      <c r="X74" s="299" t="e">
        <f>VLOOKUP(form!L50,Лист1!$AK$63:$AM$77,2,0)</f>
        <v>#N/A</v>
      </c>
      <c r="Y74" s="299" t="e">
        <f>VLOOKUP(CONCATENATE(form!L50,".",form!N50),Лист1!$AO$43:$AQ$60,2,0)</f>
        <v>#N/A</v>
      </c>
      <c r="Z74" s="255"/>
      <c r="AA74" s="295" t="e">
        <f>VLOOKUP(CONCATENATE(form!C50,".",form!D50),Лист1!$L:$N,3,0)</f>
        <v>#N/A</v>
      </c>
      <c r="AB74" s="295" t="e">
        <f>VLOOKUP(CONCATENATE(form!C50,".",form!D50),Лист1!$Q:$S,3,0)</f>
        <v>#N/A</v>
      </c>
      <c r="AC74" s="346" t="e">
        <f>VLOOKUP(CONCATENATE(form!C50,".",form!E50,".",form!F50,".",form!G50),Лист1!$U:$W,3,0)</f>
        <v>#N/A</v>
      </c>
      <c r="AD74" s="295" t="e">
        <f>VLOOKUP(form!I50,Лист1!$Y:$AA,3,0)</f>
        <v>#N/A</v>
      </c>
      <c r="AE74" s="298"/>
      <c r="AF74" s="298"/>
      <c r="AG74" s="299" t="e">
        <f>VLOOKUP(form!L50,Лист1!$AK$63:$AM$77,3,0)</f>
        <v>#N/A</v>
      </c>
      <c r="AH74" s="295" t="e">
        <f>VLOOKUP(CONCATENATE(form!L50,".",form!N50),Лист1!$AO$43:$AQ$60,3,0)</f>
        <v>#N/A</v>
      </c>
      <c r="AI74" s="255"/>
      <c r="AJ74" s="300" t="e">
        <f>VLOOKUP(CONCATENATE(form!C50,".",form!D50,".",form!H50),Лист1!$DD:$DH,5,0)</f>
        <v>#N/A</v>
      </c>
      <c r="AK74" s="298"/>
      <c r="AL74" s="298"/>
      <c r="AM74" s="298"/>
      <c r="AN74" s="300" t="e">
        <f>VLOOKUP(CONCATENATE(form!C50,".",form!L50),Лист1!$DV:$DZ,5,0)</f>
        <v>#N/A</v>
      </c>
      <c r="AO74" s="298"/>
      <c r="AP74" s="300" t="e">
        <f>VLOOKUP(CONCATENATE(form!C50,".",form!D50,".",form!H50,".",form!F50),Лист1!$EH:$EL,5,0)</f>
        <v>#N/A</v>
      </c>
      <c r="AQ74" s="349"/>
      <c r="AR74" s="349"/>
      <c r="AS74" s="350" t="e">
        <f t="shared" ref="AS74:AS85" si="42">SUM(AJ74:AQ74)</f>
        <v>#N/A</v>
      </c>
      <c r="AT74" s="255"/>
      <c r="AU74" s="621">
        <f t="shared" si="40"/>
        <v>0</v>
      </c>
      <c r="AV74" s="351">
        <f t="shared" si="41"/>
        <v>0</v>
      </c>
      <c r="AX74" s="294"/>
    </row>
    <row r="75" spans="2:50" s="273" customFormat="1" ht="24.9" customHeight="1" x14ac:dyDescent="0.2">
      <c r="B75" s="381">
        <v>5</v>
      </c>
      <c r="C75" s="577" t="str">
        <f t="shared" si="31"/>
        <v/>
      </c>
      <c r="D75" s="578" t="str">
        <f t="shared" si="32"/>
        <v/>
      </c>
      <c r="E75" s="466" t="str">
        <f>IF(OR(J75=0,J75=""),"",VLOOKUP(R75,Лист1!$M:$O,3,0))</f>
        <v/>
      </c>
      <c r="F75" s="334" t="str">
        <f t="shared" si="33"/>
        <v/>
      </c>
      <c r="G75" s="589" t="str">
        <f t="shared" si="34"/>
        <v/>
      </c>
      <c r="H75" s="335" t="str">
        <f t="shared" si="35"/>
        <v/>
      </c>
      <c r="J75" s="345">
        <f>form!R51</f>
        <v>0</v>
      </c>
      <c r="K75" s="255"/>
      <c r="L75" s="346" t="str">
        <f t="shared" si="36"/>
        <v/>
      </c>
      <c r="M75" s="346" t="str">
        <f t="shared" si="37"/>
        <v/>
      </c>
      <c r="N75" s="346" t="str">
        <f t="shared" si="38"/>
        <v/>
      </c>
      <c r="O75" s="346" t="str">
        <f t="shared" si="39"/>
        <v/>
      </c>
      <c r="P75" s="255"/>
      <c r="Q75" s="255"/>
      <c r="R75" s="347" t="e">
        <f>VLOOKUP(CONCATENATE(form!C51,".",form!D51),Лист1!$L:$N,2,0)</f>
        <v>#N/A</v>
      </c>
      <c r="S75" s="348" t="e">
        <f>VLOOKUP(CONCATENATE(form!C51,".",form!D51),Лист1!$Q:$S,2,0)</f>
        <v>#N/A</v>
      </c>
      <c r="T75" s="348" t="e">
        <f>VLOOKUP(CONCATENATE(form!C51,".",form!E51,".",form!F51,".",form!G51),Лист1!$U:$W,2,0)</f>
        <v>#N/A</v>
      </c>
      <c r="U75" s="299" t="e">
        <f>VLOOKUP(form!I51,Лист1!$Y:$AA,2,0)</f>
        <v>#N/A</v>
      </c>
      <c r="V75" s="298"/>
      <c r="W75" s="298"/>
      <c r="X75" s="299" t="e">
        <f>VLOOKUP(form!L51,Лист1!$AK$63:$AM$77,2,0)</f>
        <v>#N/A</v>
      </c>
      <c r="Y75" s="299" t="e">
        <f>VLOOKUP(CONCATENATE(form!L51,".",form!N51),Лист1!$AO$43:$AQ$60,2,0)</f>
        <v>#N/A</v>
      </c>
      <c r="Z75" s="255"/>
      <c r="AA75" s="295" t="e">
        <f>VLOOKUP(CONCATENATE(form!C51,".",form!D51),Лист1!$L:$N,3,0)</f>
        <v>#N/A</v>
      </c>
      <c r="AB75" s="295" t="e">
        <f>VLOOKUP(CONCATENATE(form!C51,".",form!D51),Лист1!$Q:$S,3,0)</f>
        <v>#N/A</v>
      </c>
      <c r="AC75" s="346" t="e">
        <f>VLOOKUP(CONCATENATE(form!C51,".",form!E51,".",form!F51,".",form!G51),Лист1!$U:$W,3,0)</f>
        <v>#N/A</v>
      </c>
      <c r="AD75" s="295" t="e">
        <f>VLOOKUP(form!I51,Лист1!$Y:$AA,3,0)</f>
        <v>#N/A</v>
      </c>
      <c r="AE75" s="298"/>
      <c r="AF75" s="298"/>
      <c r="AG75" s="299" t="e">
        <f>VLOOKUP(form!L51,Лист1!$AK$63:$AM$77,3,0)</f>
        <v>#N/A</v>
      </c>
      <c r="AH75" s="295" t="e">
        <f>VLOOKUP(CONCATENATE(form!L51,".",form!N51),Лист1!$AO$43:$AQ$60,3,0)</f>
        <v>#N/A</v>
      </c>
      <c r="AI75" s="255"/>
      <c r="AJ75" s="300" t="e">
        <f>VLOOKUP(CONCATENATE(form!C51,".",form!D51,".",form!H51),Лист1!$DD:$DH,5,0)</f>
        <v>#N/A</v>
      </c>
      <c r="AK75" s="298"/>
      <c r="AL75" s="298"/>
      <c r="AM75" s="298"/>
      <c r="AN75" s="300" t="e">
        <f>VLOOKUP(CONCATENATE(form!C51,".",form!L51),Лист1!$DV:$DZ,5,0)</f>
        <v>#N/A</v>
      </c>
      <c r="AO75" s="298"/>
      <c r="AP75" s="300" t="e">
        <f>VLOOKUP(CONCATENATE(form!C51,".",form!D51,".",form!H51,".",form!F51),Лист1!$EH:$EL,5,0)</f>
        <v>#N/A</v>
      </c>
      <c r="AQ75" s="349"/>
      <c r="AR75" s="349"/>
      <c r="AS75" s="350" t="e">
        <f t="shared" si="42"/>
        <v>#N/A</v>
      </c>
      <c r="AT75" s="255"/>
      <c r="AU75" s="621">
        <f t="shared" si="40"/>
        <v>0</v>
      </c>
      <c r="AV75" s="351">
        <f t="shared" si="41"/>
        <v>0</v>
      </c>
      <c r="AX75" s="294"/>
    </row>
    <row r="76" spans="2:50" s="273" customFormat="1" ht="24.9" customHeight="1" x14ac:dyDescent="0.2">
      <c r="B76" s="381">
        <v>6</v>
      </c>
      <c r="C76" s="577" t="str">
        <f t="shared" si="31"/>
        <v/>
      </c>
      <c r="D76" s="578" t="str">
        <f t="shared" si="32"/>
        <v/>
      </c>
      <c r="E76" s="466" t="str">
        <f>IF(OR(J76=0,J76=""),"",VLOOKUP(R76,Лист1!$M:$O,3,0))</f>
        <v/>
      </c>
      <c r="F76" s="334" t="str">
        <f t="shared" si="33"/>
        <v/>
      </c>
      <c r="G76" s="589" t="str">
        <f t="shared" si="34"/>
        <v/>
      </c>
      <c r="H76" s="335" t="str">
        <f t="shared" si="35"/>
        <v/>
      </c>
      <c r="J76" s="345">
        <f>form!R52</f>
        <v>0</v>
      </c>
      <c r="K76" s="255"/>
      <c r="L76" s="346" t="str">
        <f t="shared" si="36"/>
        <v/>
      </c>
      <c r="M76" s="346" t="str">
        <f t="shared" si="37"/>
        <v/>
      </c>
      <c r="N76" s="346" t="str">
        <f t="shared" si="38"/>
        <v/>
      </c>
      <c r="O76" s="346" t="str">
        <f t="shared" si="39"/>
        <v/>
      </c>
      <c r="P76" s="255"/>
      <c r="Q76" s="255"/>
      <c r="R76" s="347" t="e">
        <f>VLOOKUP(CONCATENATE(form!C52,".",form!D52),Лист1!$L:$N,2,0)</f>
        <v>#N/A</v>
      </c>
      <c r="S76" s="348" t="e">
        <f>VLOOKUP(CONCATENATE(form!C52,".",form!D52),Лист1!$Q:$S,2,0)</f>
        <v>#N/A</v>
      </c>
      <c r="T76" s="348" t="e">
        <f>VLOOKUP(CONCATENATE(form!C52,".",form!E52,".",form!F52,".",form!G52),Лист1!$U:$W,2,0)</f>
        <v>#N/A</v>
      </c>
      <c r="U76" s="299" t="e">
        <f>VLOOKUP(form!I52,Лист1!$Y:$AA,2,0)</f>
        <v>#N/A</v>
      </c>
      <c r="V76" s="298"/>
      <c r="W76" s="298"/>
      <c r="X76" s="299" t="e">
        <f>VLOOKUP(form!L52,Лист1!$AK$63:$AM$77,2,0)</f>
        <v>#N/A</v>
      </c>
      <c r="Y76" s="299" t="e">
        <f>VLOOKUP(CONCATENATE(form!L52,".",form!N52),Лист1!$AO$43:$AQ$60,2,0)</f>
        <v>#N/A</v>
      </c>
      <c r="Z76" s="255"/>
      <c r="AA76" s="295" t="e">
        <f>VLOOKUP(CONCATENATE(form!C52,".",form!D52),Лист1!$L:$N,3,0)</f>
        <v>#N/A</v>
      </c>
      <c r="AB76" s="295" t="e">
        <f>VLOOKUP(CONCATENATE(form!C52,".",form!D52),Лист1!$Q:$S,3,0)</f>
        <v>#N/A</v>
      </c>
      <c r="AC76" s="346" t="e">
        <f>VLOOKUP(CONCATENATE(form!C52,".",form!E52,".",form!F52,".",form!G52),Лист1!$U:$W,3,0)</f>
        <v>#N/A</v>
      </c>
      <c r="AD76" s="295" t="e">
        <f>VLOOKUP(form!I52,Лист1!$Y:$AA,3,0)</f>
        <v>#N/A</v>
      </c>
      <c r="AE76" s="298"/>
      <c r="AF76" s="298"/>
      <c r="AG76" s="299" t="e">
        <f>VLOOKUP(form!L52,Лист1!$AK$63:$AM$77,3,0)</f>
        <v>#N/A</v>
      </c>
      <c r="AH76" s="295" t="e">
        <f>VLOOKUP(CONCATENATE(form!L52,".",form!N52),Лист1!$AO$43:$AQ$60,3,0)</f>
        <v>#N/A</v>
      </c>
      <c r="AI76" s="255"/>
      <c r="AJ76" s="300" t="e">
        <f>VLOOKUP(CONCATENATE(form!C52,".",form!D52,".",form!H52),Лист1!$DD:$DH,5,0)</f>
        <v>#N/A</v>
      </c>
      <c r="AK76" s="298"/>
      <c r="AL76" s="298"/>
      <c r="AM76" s="298"/>
      <c r="AN76" s="300" t="e">
        <f>VLOOKUP(CONCATENATE(form!C52,".",form!L52),Лист1!$DV:$DZ,5,0)</f>
        <v>#N/A</v>
      </c>
      <c r="AO76" s="298"/>
      <c r="AP76" s="300" t="e">
        <f>VLOOKUP(CONCATENATE(form!C52,".",form!D52,".",form!H52,".",form!F52),Лист1!$EH:$EL,5,0)</f>
        <v>#N/A</v>
      </c>
      <c r="AQ76" s="349"/>
      <c r="AR76" s="349"/>
      <c r="AS76" s="350" t="e">
        <f t="shared" si="42"/>
        <v>#N/A</v>
      </c>
      <c r="AT76" s="255"/>
      <c r="AU76" s="621">
        <f t="shared" si="40"/>
        <v>0</v>
      </c>
      <c r="AV76" s="351">
        <f t="shared" si="41"/>
        <v>0</v>
      </c>
      <c r="AX76" s="294"/>
    </row>
    <row r="77" spans="2:50" s="273" customFormat="1" ht="24.9" customHeight="1" x14ac:dyDescent="0.2">
      <c r="B77" s="381">
        <v>7</v>
      </c>
      <c r="C77" s="577" t="str">
        <f t="shared" si="31"/>
        <v/>
      </c>
      <c r="D77" s="578" t="str">
        <f t="shared" si="32"/>
        <v/>
      </c>
      <c r="E77" s="466" t="str">
        <f>IF(OR(J77=0,J77=""),"",VLOOKUP(R77,Лист1!$M:$O,3,0))</f>
        <v/>
      </c>
      <c r="F77" s="334" t="str">
        <f t="shared" si="33"/>
        <v/>
      </c>
      <c r="G77" s="589" t="str">
        <f t="shared" si="34"/>
        <v/>
      </c>
      <c r="H77" s="335" t="str">
        <f t="shared" si="35"/>
        <v/>
      </c>
      <c r="J77" s="345">
        <f>form!R53</f>
        <v>0</v>
      </c>
      <c r="K77" s="255"/>
      <c r="L77" s="346" t="str">
        <f t="shared" si="36"/>
        <v/>
      </c>
      <c r="M77" s="346" t="str">
        <f t="shared" si="37"/>
        <v/>
      </c>
      <c r="N77" s="346" t="str">
        <f t="shared" si="38"/>
        <v/>
      </c>
      <c r="O77" s="346" t="str">
        <f t="shared" si="39"/>
        <v/>
      </c>
      <c r="P77" s="255"/>
      <c r="Q77" s="255"/>
      <c r="R77" s="347" t="e">
        <f>VLOOKUP(CONCATENATE(form!C53,".",form!D53),Лист1!$L:$N,2,0)</f>
        <v>#N/A</v>
      </c>
      <c r="S77" s="348" t="e">
        <f>VLOOKUP(CONCATENATE(form!C53,".",form!D53),Лист1!$Q:$S,2,0)</f>
        <v>#N/A</v>
      </c>
      <c r="T77" s="348" t="e">
        <f>VLOOKUP(CONCATENATE(form!C53,".",form!E53,".",form!F53,".",form!G53),Лист1!$U:$W,2,0)</f>
        <v>#N/A</v>
      </c>
      <c r="U77" s="299" t="e">
        <f>VLOOKUP(form!I53,Лист1!$Y:$AA,2,0)</f>
        <v>#N/A</v>
      </c>
      <c r="V77" s="298"/>
      <c r="W77" s="298"/>
      <c r="X77" s="299" t="e">
        <f>VLOOKUP(form!L53,Лист1!$AK$63:$AM$77,2,0)</f>
        <v>#N/A</v>
      </c>
      <c r="Y77" s="299" t="e">
        <f>VLOOKUP(CONCATENATE(form!L53,".",form!N53),Лист1!$AO$43:$AQ$60,2,0)</f>
        <v>#N/A</v>
      </c>
      <c r="Z77" s="255"/>
      <c r="AA77" s="295" t="e">
        <f>VLOOKUP(CONCATENATE(form!C53,".",form!D53),Лист1!$L:$N,3,0)</f>
        <v>#N/A</v>
      </c>
      <c r="AB77" s="295" t="e">
        <f>VLOOKUP(CONCATENATE(form!C53,".",form!D53),Лист1!$Q:$S,3,0)</f>
        <v>#N/A</v>
      </c>
      <c r="AC77" s="346" t="e">
        <f>VLOOKUP(CONCATENATE(form!C53,".",form!E53,".",form!F53,".",form!G53),Лист1!$U:$W,3,0)</f>
        <v>#N/A</v>
      </c>
      <c r="AD77" s="295" t="e">
        <f>VLOOKUP(form!I53,Лист1!$Y:$AA,3,0)</f>
        <v>#N/A</v>
      </c>
      <c r="AE77" s="298"/>
      <c r="AF77" s="298"/>
      <c r="AG77" s="299" t="e">
        <f>VLOOKUP(form!L53,Лист1!$AK$63:$AM$77,3,0)</f>
        <v>#N/A</v>
      </c>
      <c r="AH77" s="295" t="e">
        <f>VLOOKUP(CONCATENATE(form!L53,".",form!N53),Лист1!$AO$43:$AQ$60,3,0)</f>
        <v>#N/A</v>
      </c>
      <c r="AI77" s="255"/>
      <c r="AJ77" s="300" t="e">
        <f>VLOOKUP(CONCATENATE(form!C53,".",form!D53,".",form!H53),Лист1!$DD:$DH,5,0)</f>
        <v>#N/A</v>
      </c>
      <c r="AK77" s="298"/>
      <c r="AL77" s="298"/>
      <c r="AM77" s="298"/>
      <c r="AN77" s="300" t="e">
        <f>VLOOKUP(CONCATENATE(form!C53,".",form!L53),Лист1!$DV:$DZ,5,0)</f>
        <v>#N/A</v>
      </c>
      <c r="AO77" s="298"/>
      <c r="AP77" s="300" t="e">
        <f>VLOOKUP(CONCATENATE(form!C53,".",form!D53,".",form!H53,".",form!F53),Лист1!$EH:$EL,5,0)</f>
        <v>#N/A</v>
      </c>
      <c r="AQ77" s="349"/>
      <c r="AR77" s="349"/>
      <c r="AS77" s="350" t="e">
        <f t="shared" si="42"/>
        <v>#N/A</v>
      </c>
      <c r="AT77" s="255"/>
      <c r="AU77" s="621">
        <f t="shared" si="40"/>
        <v>0</v>
      </c>
      <c r="AV77" s="351">
        <f t="shared" si="41"/>
        <v>0</v>
      </c>
      <c r="AX77" s="294"/>
    </row>
    <row r="78" spans="2:50" s="273" customFormat="1" ht="24.9" customHeight="1" x14ac:dyDescent="0.2">
      <c r="B78" s="381">
        <v>8</v>
      </c>
      <c r="C78" s="577" t="str">
        <f t="shared" si="31"/>
        <v/>
      </c>
      <c r="D78" s="578" t="str">
        <f t="shared" si="32"/>
        <v/>
      </c>
      <c r="E78" s="466" t="str">
        <f>IF(OR(J78=0,J78=""),"",VLOOKUP(R78,Лист1!$M:$O,3,0))</f>
        <v/>
      </c>
      <c r="F78" s="334" t="str">
        <f t="shared" si="33"/>
        <v/>
      </c>
      <c r="G78" s="589" t="str">
        <f t="shared" si="34"/>
        <v/>
      </c>
      <c r="H78" s="335" t="str">
        <f t="shared" si="35"/>
        <v/>
      </c>
      <c r="J78" s="345">
        <f>form!R54</f>
        <v>0</v>
      </c>
      <c r="K78" s="255"/>
      <c r="L78" s="346" t="str">
        <f t="shared" si="36"/>
        <v/>
      </c>
      <c r="M78" s="346" t="str">
        <f t="shared" si="37"/>
        <v/>
      </c>
      <c r="N78" s="346" t="str">
        <f t="shared" si="38"/>
        <v/>
      </c>
      <c r="O78" s="346" t="str">
        <f t="shared" si="39"/>
        <v/>
      </c>
      <c r="P78" s="255"/>
      <c r="Q78" s="255"/>
      <c r="R78" s="347" t="e">
        <f>VLOOKUP(CONCATENATE(form!C54,".",form!D54),Лист1!$L:$N,2,0)</f>
        <v>#N/A</v>
      </c>
      <c r="S78" s="348" t="e">
        <f>VLOOKUP(CONCATENATE(form!C54,".",form!D54),Лист1!$Q:$S,2,0)</f>
        <v>#N/A</v>
      </c>
      <c r="T78" s="348" t="e">
        <f>VLOOKUP(CONCATENATE(form!C54,".",form!E54,".",form!F54,".",form!G54),Лист1!$U:$W,2,0)</f>
        <v>#N/A</v>
      </c>
      <c r="U78" s="299" t="e">
        <f>VLOOKUP(form!I54,Лист1!$Y:$AA,2,0)</f>
        <v>#N/A</v>
      </c>
      <c r="V78" s="298"/>
      <c r="W78" s="298"/>
      <c r="X78" s="299" t="e">
        <f>VLOOKUP(form!L54,Лист1!$AK$63:$AM$77,2,0)</f>
        <v>#N/A</v>
      </c>
      <c r="Y78" s="299" t="e">
        <f>VLOOKUP(CONCATENATE(form!L54,".",form!N54),Лист1!$AO$43:$AQ$60,2,0)</f>
        <v>#N/A</v>
      </c>
      <c r="Z78" s="255"/>
      <c r="AA78" s="295" t="e">
        <f>VLOOKUP(CONCATENATE(form!C54,".",form!D54),Лист1!$L:$N,3,0)</f>
        <v>#N/A</v>
      </c>
      <c r="AB78" s="295" t="e">
        <f>VLOOKUP(CONCATENATE(form!C54,".",form!D54),Лист1!$Q:$S,3,0)</f>
        <v>#N/A</v>
      </c>
      <c r="AC78" s="346" t="e">
        <f>VLOOKUP(CONCATENATE(form!C54,".",form!E54,".",form!F54,".",form!G54),Лист1!$U:$W,3,0)</f>
        <v>#N/A</v>
      </c>
      <c r="AD78" s="295" t="e">
        <f>VLOOKUP(form!I54,Лист1!$Y:$AA,3,0)</f>
        <v>#N/A</v>
      </c>
      <c r="AE78" s="298"/>
      <c r="AF78" s="298"/>
      <c r="AG78" s="299" t="e">
        <f>VLOOKUP(form!L54,Лист1!$AK$63:$AM$77,3,0)</f>
        <v>#N/A</v>
      </c>
      <c r="AH78" s="295" t="e">
        <f>VLOOKUP(CONCATENATE(form!L54,".",form!N54),Лист1!$AO$43:$AQ$60,3,0)</f>
        <v>#N/A</v>
      </c>
      <c r="AI78" s="255"/>
      <c r="AJ78" s="300" t="e">
        <f>VLOOKUP(CONCATENATE(form!C54,".",form!D54,".",form!H54),Лист1!$DD:$DH,5,0)</f>
        <v>#N/A</v>
      </c>
      <c r="AK78" s="298"/>
      <c r="AL78" s="298"/>
      <c r="AM78" s="298"/>
      <c r="AN78" s="300" t="e">
        <f>VLOOKUP(CONCATENATE(form!C54,".",form!L54),Лист1!$DV:$DZ,5,0)</f>
        <v>#N/A</v>
      </c>
      <c r="AO78" s="298"/>
      <c r="AP78" s="300" t="e">
        <f>VLOOKUP(CONCATENATE(form!C54,".",form!D54,".",form!H54,".",form!F54),Лист1!$EH:$EL,5,0)</f>
        <v>#N/A</v>
      </c>
      <c r="AQ78" s="349"/>
      <c r="AR78" s="349"/>
      <c r="AS78" s="350" t="e">
        <f t="shared" si="42"/>
        <v>#N/A</v>
      </c>
      <c r="AT78" s="255"/>
      <c r="AU78" s="621">
        <f t="shared" si="40"/>
        <v>0</v>
      </c>
      <c r="AV78" s="351">
        <f t="shared" si="41"/>
        <v>0</v>
      </c>
      <c r="AX78" s="294"/>
    </row>
    <row r="79" spans="2:50" s="273" customFormat="1" ht="24.9" customHeight="1" x14ac:dyDescent="0.2">
      <c r="B79" s="381">
        <v>9</v>
      </c>
      <c r="C79" s="577" t="str">
        <f t="shared" si="31"/>
        <v/>
      </c>
      <c r="D79" s="578" t="str">
        <f t="shared" si="32"/>
        <v/>
      </c>
      <c r="E79" s="466" t="str">
        <f>IF(OR(J79=0,J79=""),"",VLOOKUP(R79,Лист1!$M:$O,3,0))</f>
        <v/>
      </c>
      <c r="F79" s="334" t="str">
        <f t="shared" si="33"/>
        <v/>
      </c>
      <c r="G79" s="589" t="str">
        <f t="shared" si="34"/>
        <v/>
      </c>
      <c r="H79" s="335" t="str">
        <f t="shared" si="35"/>
        <v/>
      </c>
      <c r="J79" s="345">
        <f>form!R55</f>
        <v>0</v>
      </c>
      <c r="K79" s="255"/>
      <c r="L79" s="346" t="str">
        <f t="shared" si="36"/>
        <v/>
      </c>
      <c r="M79" s="346" t="str">
        <f t="shared" si="37"/>
        <v/>
      </c>
      <c r="N79" s="346" t="str">
        <f t="shared" si="38"/>
        <v/>
      </c>
      <c r="O79" s="346" t="str">
        <f t="shared" si="39"/>
        <v/>
      </c>
      <c r="P79" s="255"/>
      <c r="Q79" s="255"/>
      <c r="R79" s="347" t="e">
        <f>VLOOKUP(CONCATENATE(form!C55,".",form!D55),Лист1!$L:$N,2,0)</f>
        <v>#N/A</v>
      </c>
      <c r="S79" s="348" t="e">
        <f>VLOOKUP(CONCATENATE(form!C55,".",form!D55),Лист1!$Q:$S,2,0)</f>
        <v>#N/A</v>
      </c>
      <c r="T79" s="348" t="e">
        <f>VLOOKUP(CONCATENATE(form!C55,".",form!E55,".",form!F55,".",form!G55),Лист1!$U:$W,2,0)</f>
        <v>#N/A</v>
      </c>
      <c r="U79" s="299" t="e">
        <f>VLOOKUP(form!I55,Лист1!$Y:$AA,2,0)</f>
        <v>#N/A</v>
      </c>
      <c r="V79" s="298"/>
      <c r="W79" s="298"/>
      <c r="X79" s="299" t="e">
        <f>VLOOKUP(form!L55,Лист1!$AK$63:$AM$77,2,0)</f>
        <v>#N/A</v>
      </c>
      <c r="Y79" s="299" t="e">
        <f>VLOOKUP(CONCATENATE(form!L55,".",form!N55),Лист1!$AO$43:$AQ$60,2,0)</f>
        <v>#N/A</v>
      </c>
      <c r="Z79" s="255"/>
      <c r="AA79" s="295" t="e">
        <f>VLOOKUP(CONCATENATE(form!C55,".",form!D55),Лист1!$L:$N,3,0)</f>
        <v>#N/A</v>
      </c>
      <c r="AB79" s="295" t="e">
        <f>VLOOKUP(CONCATENATE(form!C55,".",form!D55),Лист1!$Q:$S,3,0)</f>
        <v>#N/A</v>
      </c>
      <c r="AC79" s="346" t="e">
        <f>VLOOKUP(CONCATENATE(form!C55,".",form!E55,".",form!F55,".",form!G55),Лист1!$U:$W,3,0)</f>
        <v>#N/A</v>
      </c>
      <c r="AD79" s="295" t="e">
        <f>VLOOKUP(form!I55,Лист1!$Y:$AA,3,0)</f>
        <v>#N/A</v>
      </c>
      <c r="AE79" s="298"/>
      <c r="AF79" s="298"/>
      <c r="AG79" s="299" t="e">
        <f>VLOOKUP(form!L55,Лист1!$AK$63:$AM$77,3,0)</f>
        <v>#N/A</v>
      </c>
      <c r="AH79" s="295" t="e">
        <f>VLOOKUP(CONCATENATE(form!L55,".",form!N55),Лист1!$AO$43:$AQ$60,3,0)</f>
        <v>#N/A</v>
      </c>
      <c r="AI79" s="255"/>
      <c r="AJ79" s="300" t="e">
        <f>VLOOKUP(CONCATENATE(form!C55,".",form!D55,".",form!H55),Лист1!$DD:$DH,5,0)</f>
        <v>#N/A</v>
      </c>
      <c r="AK79" s="298"/>
      <c r="AL79" s="298"/>
      <c r="AM79" s="298"/>
      <c r="AN79" s="300" t="e">
        <f>VLOOKUP(CONCATENATE(form!C55,".",form!L55),Лист1!$DV:$DZ,5,0)</f>
        <v>#N/A</v>
      </c>
      <c r="AO79" s="298"/>
      <c r="AP79" s="300" t="e">
        <f>VLOOKUP(CONCATENATE(form!C55,".",form!D55,".",form!H55,".",form!F55),Лист1!$EH:$EL,5,0)</f>
        <v>#N/A</v>
      </c>
      <c r="AQ79" s="349"/>
      <c r="AR79" s="349"/>
      <c r="AS79" s="350" t="e">
        <f t="shared" si="42"/>
        <v>#N/A</v>
      </c>
      <c r="AT79" s="255"/>
      <c r="AU79" s="621">
        <f t="shared" si="40"/>
        <v>0</v>
      </c>
      <c r="AV79" s="351">
        <f t="shared" si="41"/>
        <v>0</v>
      </c>
      <c r="AX79" s="294"/>
    </row>
    <row r="80" spans="2:50" s="273" customFormat="1" ht="24.9" customHeight="1" x14ac:dyDescent="0.2">
      <c r="B80" s="381">
        <v>10</v>
      </c>
      <c r="C80" s="577" t="str">
        <f t="shared" si="31"/>
        <v/>
      </c>
      <c r="D80" s="578" t="str">
        <f t="shared" si="32"/>
        <v/>
      </c>
      <c r="E80" s="466" t="str">
        <f>IF(OR(J80=0,J80=""),"",VLOOKUP(R80,Лист1!$M:$O,3,0))</f>
        <v/>
      </c>
      <c r="F80" s="334" t="str">
        <f t="shared" si="33"/>
        <v/>
      </c>
      <c r="G80" s="589" t="str">
        <f t="shared" si="34"/>
        <v/>
      </c>
      <c r="H80" s="335" t="str">
        <f t="shared" si="35"/>
        <v/>
      </c>
      <c r="J80" s="345">
        <f>form!R56</f>
        <v>0</v>
      </c>
      <c r="K80" s="255"/>
      <c r="L80" s="346" t="str">
        <f t="shared" si="36"/>
        <v/>
      </c>
      <c r="M80" s="346" t="str">
        <f t="shared" si="37"/>
        <v/>
      </c>
      <c r="N80" s="346" t="str">
        <f t="shared" si="38"/>
        <v/>
      </c>
      <c r="O80" s="346" t="str">
        <f t="shared" si="39"/>
        <v/>
      </c>
      <c r="P80" s="255"/>
      <c r="Q80" s="255"/>
      <c r="R80" s="347" t="e">
        <f>VLOOKUP(CONCATENATE(form!C56,".",form!D56),Лист1!$L:$N,2,0)</f>
        <v>#N/A</v>
      </c>
      <c r="S80" s="348" t="e">
        <f>VLOOKUP(CONCATENATE(form!C56,".",form!D56),Лист1!$Q:$S,2,0)</f>
        <v>#N/A</v>
      </c>
      <c r="T80" s="348" t="e">
        <f>VLOOKUP(CONCATENATE(form!C56,".",form!E56,".",form!F56,".",form!G56),Лист1!$U:$W,2,0)</f>
        <v>#N/A</v>
      </c>
      <c r="U80" s="299" t="e">
        <f>VLOOKUP(form!I56,Лист1!$Y:$AA,2,0)</f>
        <v>#N/A</v>
      </c>
      <c r="V80" s="298"/>
      <c r="W80" s="298"/>
      <c r="X80" s="299" t="e">
        <f>VLOOKUP(form!L56,Лист1!$AK$63:$AM$77,2,0)</f>
        <v>#N/A</v>
      </c>
      <c r="Y80" s="299" t="e">
        <f>VLOOKUP(CONCATENATE(form!L56,".",form!N56),Лист1!$AO$43:$AQ$60,2,0)</f>
        <v>#N/A</v>
      </c>
      <c r="Z80" s="255"/>
      <c r="AA80" s="295" t="e">
        <f>VLOOKUP(CONCATENATE(form!C56,".",form!D56),Лист1!$L:$N,3,0)</f>
        <v>#N/A</v>
      </c>
      <c r="AB80" s="295" t="e">
        <f>VLOOKUP(CONCATENATE(form!C56,".",form!D56),Лист1!$Q:$S,3,0)</f>
        <v>#N/A</v>
      </c>
      <c r="AC80" s="346" t="e">
        <f>VLOOKUP(CONCATENATE(form!C56,".",form!E56,".",form!F56,".",form!G56),Лист1!$U:$W,3,0)</f>
        <v>#N/A</v>
      </c>
      <c r="AD80" s="295" t="e">
        <f>VLOOKUP(form!I56,Лист1!$Y:$AA,3,0)</f>
        <v>#N/A</v>
      </c>
      <c r="AE80" s="298"/>
      <c r="AF80" s="298"/>
      <c r="AG80" s="299" t="e">
        <f>VLOOKUP(form!L56,Лист1!$AK$63:$AM$77,3,0)</f>
        <v>#N/A</v>
      </c>
      <c r="AH80" s="295" t="e">
        <f>VLOOKUP(CONCATENATE(form!L56,".",form!N56),Лист1!$AO$43:$AQ$60,3,0)</f>
        <v>#N/A</v>
      </c>
      <c r="AI80" s="255"/>
      <c r="AJ80" s="300" t="e">
        <f>VLOOKUP(CONCATENATE(form!C56,".",form!D56,".",form!H56),Лист1!$DD:$DH,5,0)</f>
        <v>#N/A</v>
      </c>
      <c r="AK80" s="298"/>
      <c r="AL80" s="298"/>
      <c r="AM80" s="298"/>
      <c r="AN80" s="300" t="e">
        <f>VLOOKUP(CONCATENATE(form!C56,".",form!L56),Лист1!$DV:$DZ,5,0)</f>
        <v>#N/A</v>
      </c>
      <c r="AO80" s="298"/>
      <c r="AP80" s="300" t="e">
        <f>VLOOKUP(CONCATENATE(form!C56,".",form!D56,".",form!H56,".",form!F56),Лист1!$EH:$EL,5,0)</f>
        <v>#N/A</v>
      </c>
      <c r="AQ80" s="349"/>
      <c r="AR80" s="349"/>
      <c r="AS80" s="350" t="e">
        <f t="shared" si="42"/>
        <v>#N/A</v>
      </c>
      <c r="AT80" s="255"/>
      <c r="AU80" s="621">
        <f t="shared" si="40"/>
        <v>0</v>
      </c>
      <c r="AV80" s="351">
        <f t="shared" si="41"/>
        <v>0</v>
      </c>
      <c r="AX80" s="294"/>
    </row>
    <row r="81" spans="2:50" s="273" customFormat="1" ht="24.9" customHeight="1" x14ac:dyDescent="0.2">
      <c r="B81" s="381">
        <v>11</v>
      </c>
      <c r="C81" s="577" t="str">
        <f t="shared" si="31"/>
        <v/>
      </c>
      <c r="D81" s="578" t="str">
        <f t="shared" si="32"/>
        <v/>
      </c>
      <c r="E81" s="466" t="str">
        <f>IF(OR(J81=0,J81=""),"",VLOOKUP(R81,Лист1!$M:$O,3,0))</f>
        <v/>
      </c>
      <c r="F81" s="334" t="str">
        <f t="shared" si="33"/>
        <v/>
      </c>
      <c r="G81" s="589" t="str">
        <f t="shared" si="34"/>
        <v/>
      </c>
      <c r="H81" s="335" t="str">
        <f t="shared" si="35"/>
        <v/>
      </c>
      <c r="J81" s="345">
        <f>form!R57</f>
        <v>0</v>
      </c>
      <c r="K81" s="255"/>
      <c r="L81" s="346" t="str">
        <f t="shared" si="36"/>
        <v/>
      </c>
      <c r="M81" s="346" t="str">
        <f t="shared" si="37"/>
        <v/>
      </c>
      <c r="N81" s="346" t="str">
        <f t="shared" si="38"/>
        <v/>
      </c>
      <c r="O81" s="346" t="str">
        <f t="shared" si="39"/>
        <v/>
      </c>
      <c r="P81" s="255"/>
      <c r="Q81" s="255"/>
      <c r="R81" s="347" t="e">
        <f>VLOOKUP(CONCATENATE(form!C57,".",form!D57),Лист1!$L:$N,2,0)</f>
        <v>#N/A</v>
      </c>
      <c r="S81" s="348" t="e">
        <f>VLOOKUP(CONCATENATE(form!C57,".",form!D57),Лист1!$Q:$S,2,0)</f>
        <v>#N/A</v>
      </c>
      <c r="T81" s="348" t="e">
        <f>VLOOKUP(CONCATENATE(form!C57,".",form!E57,".",form!F57,".",form!G57),Лист1!$U:$W,2,0)</f>
        <v>#N/A</v>
      </c>
      <c r="U81" s="299" t="e">
        <f>VLOOKUP(form!I57,Лист1!$Y:$AA,2,0)</f>
        <v>#N/A</v>
      </c>
      <c r="V81" s="298"/>
      <c r="W81" s="298"/>
      <c r="X81" s="299" t="e">
        <f>VLOOKUP(form!L57,Лист1!$AK$63:$AM$77,2,0)</f>
        <v>#N/A</v>
      </c>
      <c r="Y81" s="299" t="e">
        <f>VLOOKUP(CONCATENATE(form!L57,".",form!N57),Лист1!$AO$43:$AQ$60,2,0)</f>
        <v>#N/A</v>
      </c>
      <c r="Z81" s="255"/>
      <c r="AA81" s="295" t="e">
        <f>VLOOKUP(CONCATENATE(form!C57,".",form!D57),Лист1!$L:$N,3,0)</f>
        <v>#N/A</v>
      </c>
      <c r="AB81" s="295" t="e">
        <f>VLOOKUP(CONCATENATE(form!C57,".",form!D57),Лист1!$Q:$S,3,0)</f>
        <v>#N/A</v>
      </c>
      <c r="AC81" s="346" t="e">
        <f>VLOOKUP(CONCATENATE(form!C57,".",form!E57,".",form!F57,".",form!G57),Лист1!$U:$W,3,0)</f>
        <v>#N/A</v>
      </c>
      <c r="AD81" s="295" t="e">
        <f>VLOOKUP(form!I57,Лист1!$Y:$AA,3,0)</f>
        <v>#N/A</v>
      </c>
      <c r="AE81" s="298"/>
      <c r="AF81" s="298"/>
      <c r="AG81" s="299" t="e">
        <f>VLOOKUP(form!L57,Лист1!$AK$63:$AM$77,3,0)</f>
        <v>#N/A</v>
      </c>
      <c r="AH81" s="295" t="e">
        <f>VLOOKUP(CONCATENATE(form!L57,".",form!N57),Лист1!$AO$43:$AQ$60,3,0)</f>
        <v>#N/A</v>
      </c>
      <c r="AI81" s="255"/>
      <c r="AJ81" s="300" t="e">
        <f>VLOOKUP(CONCATENATE(form!C57,".",form!D57,".",form!H57),Лист1!$DD:$DH,5,0)</f>
        <v>#N/A</v>
      </c>
      <c r="AK81" s="298"/>
      <c r="AL81" s="298"/>
      <c r="AM81" s="298"/>
      <c r="AN81" s="300" t="e">
        <f>VLOOKUP(CONCATENATE(form!C57,".",form!L57),Лист1!$DV:$DZ,5,0)</f>
        <v>#N/A</v>
      </c>
      <c r="AO81" s="298"/>
      <c r="AP81" s="300" t="e">
        <f>VLOOKUP(CONCATENATE(form!C57,".",form!D57,".",form!H57,".",form!F57),Лист1!$EH:$EL,5,0)</f>
        <v>#N/A</v>
      </c>
      <c r="AQ81" s="349"/>
      <c r="AR81" s="349"/>
      <c r="AS81" s="350" t="e">
        <f t="shared" si="42"/>
        <v>#N/A</v>
      </c>
      <c r="AT81" s="255"/>
      <c r="AU81" s="621">
        <f t="shared" si="40"/>
        <v>0</v>
      </c>
      <c r="AV81" s="351">
        <f t="shared" si="41"/>
        <v>0</v>
      </c>
      <c r="AX81" s="294"/>
    </row>
    <row r="82" spans="2:50" s="273" customFormat="1" ht="24.9" customHeight="1" x14ac:dyDescent="0.2">
      <c r="B82" s="381">
        <v>12</v>
      </c>
      <c r="C82" s="577" t="str">
        <f t="shared" si="31"/>
        <v/>
      </c>
      <c r="D82" s="578" t="str">
        <f t="shared" si="32"/>
        <v/>
      </c>
      <c r="E82" s="466" t="str">
        <f>IF(OR(J82=0,J82=""),"",VLOOKUP(R82,Лист1!$M:$O,3,0))</f>
        <v/>
      </c>
      <c r="F82" s="334" t="str">
        <f t="shared" si="33"/>
        <v/>
      </c>
      <c r="G82" s="589" t="str">
        <f t="shared" si="34"/>
        <v/>
      </c>
      <c r="H82" s="335" t="str">
        <f t="shared" si="35"/>
        <v/>
      </c>
      <c r="J82" s="345">
        <f>form!R58</f>
        <v>0</v>
      </c>
      <c r="K82" s="255"/>
      <c r="L82" s="346" t="str">
        <f t="shared" si="36"/>
        <v/>
      </c>
      <c r="M82" s="346" t="str">
        <f t="shared" si="37"/>
        <v/>
      </c>
      <c r="N82" s="346" t="str">
        <f t="shared" si="38"/>
        <v/>
      </c>
      <c r="O82" s="346" t="str">
        <f t="shared" si="39"/>
        <v/>
      </c>
      <c r="P82" s="255"/>
      <c r="Q82" s="255"/>
      <c r="R82" s="347" t="e">
        <f>VLOOKUP(CONCATENATE(form!C58,".",form!D58),Лист1!$L:$N,2,0)</f>
        <v>#N/A</v>
      </c>
      <c r="S82" s="348" t="e">
        <f>VLOOKUP(CONCATENATE(form!C58,".",form!D58),Лист1!$Q:$S,2,0)</f>
        <v>#N/A</v>
      </c>
      <c r="T82" s="348" t="e">
        <f>VLOOKUP(CONCATENATE(form!C58,".",form!E58,".",form!F58,".",form!G58),Лист1!$U:$W,2,0)</f>
        <v>#N/A</v>
      </c>
      <c r="U82" s="299" t="e">
        <f>VLOOKUP(form!I58,Лист1!$Y:$AA,2,0)</f>
        <v>#N/A</v>
      </c>
      <c r="V82" s="298"/>
      <c r="W82" s="298"/>
      <c r="X82" s="299" t="e">
        <f>VLOOKUP(form!L58,Лист1!$AK$63:$AM$77,2,0)</f>
        <v>#N/A</v>
      </c>
      <c r="Y82" s="299" t="e">
        <f>VLOOKUP(CONCATENATE(form!L58,".",form!N58),Лист1!$AO$43:$AQ$60,2,0)</f>
        <v>#N/A</v>
      </c>
      <c r="Z82" s="255"/>
      <c r="AA82" s="295" t="e">
        <f>VLOOKUP(CONCATENATE(form!C58,".",form!D58),Лист1!$L:$N,3,0)</f>
        <v>#N/A</v>
      </c>
      <c r="AB82" s="295" t="e">
        <f>VLOOKUP(CONCATENATE(form!C58,".",form!D58),Лист1!$Q:$S,3,0)</f>
        <v>#N/A</v>
      </c>
      <c r="AC82" s="346" t="e">
        <f>VLOOKUP(CONCATENATE(form!C58,".",form!E58,".",form!F58,".",form!G58),Лист1!$U:$W,3,0)</f>
        <v>#N/A</v>
      </c>
      <c r="AD82" s="295" t="e">
        <f>VLOOKUP(form!I58,Лист1!$Y:$AA,3,0)</f>
        <v>#N/A</v>
      </c>
      <c r="AE82" s="298"/>
      <c r="AF82" s="298"/>
      <c r="AG82" s="299" t="e">
        <f>VLOOKUP(form!L58,Лист1!$AK$63:$AM$77,3,0)</f>
        <v>#N/A</v>
      </c>
      <c r="AH82" s="295" t="e">
        <f>VLOOKUP(CONCATENATE(form!L58,".",form!N58),Лист1!$AO$43:$AQ$60,3,0)</f>
        <v>#N/A</v>
      </c>
      <c r="AI82" s="255"/>
      <c r="AJ82" s="300" t="e">
        <f>VLOOKUP(CONCATENATE(form!C58,".",form!D58,".",form!H58),Лист1!$DD:$DH,5,0)</f>
        <v>#N/A</v>
      </c>
      <c r="AK82" s="298"/>
      <c r="AL82" s="298"/>
      <c r="AM82" s="298"/>
      <c r="AN82" s="300" t="e">
        <f>VLOOKUP(CONCATENATE(form!C58,".",form!L58),Лист1!$DV:$DZ,5,0)</f>
        <v>#N/A</v>
      </c>
      <c r="AO82" s="298"/>
      <c r="AP82" s="300" t="e">
        <f>VLOOKUP(CONCATENATE(form!C58,".",form!D58,".",form!H58,".",form!F58),Лист1!$EH:$EL,5,0)</f>
        <v>#N/A</v>
      </c>
      <c r="AQ82" s="349"/>
      <c r="AR82" s="349"/>
      <c r="AS82" s="350" t="e">
        <f t="shared" si="42"/>
        <v>#N/A</v>
      </c>
      <c r="AT82" s="255"/>
      <c r="AU82" s="621">
        <f t="shared" si="40"/>
        <v>0</v>
      </c>
      <c r="AV82" s="351">
        <f t="shared" si="41"/>
        <v>0</v>
      </c>
      <c r="AX82" s="294"/>
    </row>
    <row r="83" spans="2:50" s="273" customFormat="1" ht="24.9" customHeight="1" x14ac:dyDescent="0.2">
      <c r="B83" s="381">
        <v>13</v>
      </c>
      <c r="C83" s="577" t="str">
        <f t="shared" si="31"/>
        <v/>
      </c>
      <c r="D83" s="578" t="str">
        <f t="shared" si="32"/>
        <v/>
      </c>
      <c r="E83" s="466" t="str">
        <f>IF(OR(J83=0,J83=""),"",VLOOKUP(R83,Лист1!$M:$O,3,0))</f>
        <v/>
      </c>
      <c r="F83" s="334" t="str">
        <f t="shared" si="33"/>
        <v/>
      </c>
      <c r="G83" s="589" t="str">
        <f t="shared" si="34"/>
        <v/>
      </c>
      <c r="H83" s="335" t="str">
        <f t="shared" si="35"/>
        <v/>
      </c>
      <c r="J83" s="345">
        <f>form!R59</f>
        <v>0</v>
      </c>
      <c r="K83" s="255"/>
      <c r="L83" s="346" t="str">
        <f t="shared" si="36"/>
        <v/>
      </c>
      <c r="M83" s="346" t="str">
        <f t="shared" si="37"/>
        <v/>
      </c>
      <c r="N83" s="346" t="str">
        <f t="shared" si="38"/>
        <v/>
      </c>
      <c r="O83" s="346" t="str">
        <f t="shared" si="39"/>
        <v/>
      </c>
      <c r="P83" s="255"/>
      <c r="Q83" s="255"/>
      <c r="R83" s="347" t="e">
        <f>VLOOKUP(CONCATENATE(form!C59,".",form!D59),Лист1!$L:$N,2,0)</f>
        <v>#N/A</v>
      </c>
      <c r="S83" s="348" t="e">
        <f>VLOOKUP(CONCATENATE(form!C59,".",form!D59),Лист1!$Q:$S,2,0)</f>
        <v>#N/A</v>
      </c>
      <c r="T83" s="348" t="e">
        <f>VLOOKUP(CONCATENATE(form!C59,".",form!E59,".",form!F59,".",form!G59),Лист1!$U:$W,2,0)</f>
        <v>#N/A</v>
      </c>
      <c r="U83" s="299" t="e">
        <f>VLOOKUP(form!I59,Лист1!$Y:$AA,2,0)</f>
        <v>#N/A</v>
      </c>
      <c r="V83" s="298"/>
      <c r="W83" s="298"/>
      <c r="X83" s="299" t="e">
        <f>VLOOKUP(form!L59,Лист1!$AK$63:$AM$77,2,0)</f>
        <v>#N/A</v>
      </c>
      <c r="Y83" s="299" t="e">
        <f>VLOOKUP(CONCATENATE(form!L59,".",form!N59),Лист1!$AO$43:$AQ$60,2,0)</f>
        <v>#N/A</v>
      </c>
      <c r="Z83" s="255"/>
      <c r="AA83" s="295" t="e">
        <f>VLOOKUP(CONCATENATE(form!C59,".",form!D59),Лист1!$L:$N,3,0)</f>
        <v>#N/A</v>
      </c>
      <c r="AB83" s="295" t="e">
        <f>VLOOKUP(CONCATENATE(form!C59,".",form!D59),Лист1!$Q:$S,3,0)</f>
        <v>#N/A</v>
      </c>
      <c r="AC83" s="346" t="e">
        <f>VLOOKUP(CONCATENATE(form!C59,".",form!E59,".",form!F59,".",form!G59),Лист1!$U:$W,3,0)</f>
        <v>#N/A</v>
      </c>
      <c r="AD83" s="295" t="e">
        <f>VLOOKUP(form!I59,Лист1!$Y:$AA,3,0)</f>
        <v>#N/A</v>
      </c>
      <c r="AE83" s="298"/>
      <c r="AF83" s="298"/>
      <c r="AG83" s="299" t="e">
        <f>VLOOKUP(form!L59,Лист1!$AK$63:$AM$77,3,0)</f>
        <v>#N/A</v>
      </c>
      <c r="AH83" s="295" t="e">
        <f>VLOOKUP(CONCATENATE(form!L59,".",form!N59),Лист1!$AO$43:$AQ$60,3,0)</f>
        <v>#N/A</v>
      </c>
      <c r="AI83" s="255"/>
      <c r="AJ83" s="300" t="e">
        <f>VLOOKUP(CONCATENATE(form!C59,".",form!D59,".",form!H59),Лист1!$DD:$DH,5,0)</f>
        <v>#N/A</v>
      </c>
      <c r="AK83" s="298"/>
      <c r="AL83" s="298"/>
      <c r="AM83" s="298"/>
      <c r="AN83" s="300" t="e">
        <f>VLOOKUP(CONCATENATE(form!C59,".",form!L59),Лист1!$DV:$DZ,5,0)</f>
        <v>#N/A</v>
      </c>
      <c r="AO83" s="298"/>
      <c r="AP83" s="300" t="e">
        <f>VLOOKUP(CONCATENATE(form!C59,".",form!D59,".",form!H59,".",form!F59),Лист1!$EH:$EL,5,0)</f>
        <v>#N/A</v>
      </c>
      <c r="AQ83" s="349"/>
      <c r="AR83" s="349"/>
      <c r="AS83" s="350" t="e">
        <f t="shared" si="42"/>
        <v>#N/A</v>
      </c>
      <c r="AT83" s="255"/>
      <c r="AU83" s="621">
        <f t="shared" si="40"/>
        <v>0</v>
      </c>
      <c r="AV83" s="351">
        <f t="shared" si="41"/>
        <v>0</v>
      </c>
      <c r="AX83" s="294"/>
    </row>
    <row r="84" spans="2:50" s="273" customFormat="1" ht="24.9" customHeight="1" x14ac:dyDescent="0.2">
      <c r="B84" s="381">
        <v>14</v>
      </c>
      <c r="C84" s="577" t="str">
        <f t="shared" si="31"/>
        <v/>
      </c>
      <c r="D84" s="578" t="str">
        <f t="shared" si="32"/>
        <v/>
      </c>
      <c r="E84" s="466" t="str">
        <f>IF(OR(J84=0,J84=""),"",VLOOKUP(R84,Лист1!$M:$O,3,0))</f>
        <v/>
      </c>
      <c r="F84" s="334" t="str">
        <f t="shared" si="33"/>
        <v/>
      </c>
      <c r="G84" s="589" t="str">
        <f t="shared" si="34"/>
        <v/>
      </c>
      <c r="H84" s="335" t="str">
        <f t="shared" si="35"/>
        <v/>
      </c>
      <c r="J84" s="345">
        <f>form!R60</f>
        <v>0</v>
      </c>
      <c r="K84" s="255"/>
      <c r="L84" s="346" t="str">
        <f t="shared" si="36"/>
        <v/>
      </c>
      <c r="M84" s="346" t="str">
        <f t="shared" si="37"/>
        <v/>
      </c>
      <c r="N84" s="346" t="str">
        <f t="shared" si="38"/>
        <v/>
      </c>
      <c r="O84" s="346" t="str">
        <f t="shared" si="39"/>
        <v/>
      </c>
      <c r="P84" s="255"/>
      <c r="Q84" s="255"/>
      <c r="R84" s="347" t="e">
        <f>VLOOKUP(CONCATENATE(form!C60,".",form!D60),Лист1!$L:$N,2,0)</f>
        <v>#N/A</v>
      </c>
      <c r="S84" s="348" t="e">
        <f>VLOOKUP(CONCATENATE(form!C60,".",form!D60),Лист1!$Q:$S,2,0)</f>
        <v>#N/A</v>
      </c>
      <c r="T84" s="348" t="e">
        <f>VLOOKUP(CONCATENATE(form!C60,".",form!E60,".",form!F60,".",form!G60),Лист1!$U:$W,2,0)</f>
        <v>#N/A</v>
      </c>
      <c r="U84" s="299" t="e">
        <f>VLOOKUP(form!I60,Лист1!$Y:$AA,2,0)</f>
        <v>#N/A</v>
      </c>
      <c r="V84" s="298"/>
      <c r="W84" s="298"/>
      <c r="X84" s="299" t="e">
        <f>VLOOKUP(form!L60,Лист1!$AK$63:$AM$77,2,0)</f>
        <v>#N/A</v>
      </c>
      <c r="Y84" s="299" t="e">
        <f>VLOOKUP(CONCATENATE(form!L60,".",form!N60),Лист1!$AO$43:$AQ$60,2,0)</f>
        <v>#N/A</v>
      </c>
      <c r="Z84" s="255"/>
      <c r="AA84" s="295" t="e">
        <f>VLOOKUP(CONCATENATE(form!C60,".",form!D60),Лист1!$L:$N,3,0)</f>
        <v>#N/A</v>
      </c>
      <c r="AB84" s="295" t="e">
        <f>VLOOKUP(CONCATENATE(form!C60,".",form!D60),Лист1!$Q:$S,3,0)</f>
        <v>#N/A</v>
      </c>
      <c r="AC84" s="346" t="e">
        <f>VLOOKUP(CONCATENATE(form!C60,".",form!E60,".",form!F60,".",form!G60),Лист1!$U:$W,3,0)</f>
        <v>#N/A</v>
      </c>
      <c r="AD84" s="295" t="e">
        <f>VLOOKUP(form!I60,Лист1!$Y:$AA,3,0)</f>
        <v>#N/A</v>
      </c>
      <c r="AE84" s="298"/>
      <c r="AF84" s="298"/>
      <c r="AG84" s="299" t="e">
        <f>VLOOKUP(form!L60,Лист1!$AK$63:$AM$77,3,0)</f>
        <v>#N/A</v>
      </c>
      <c r="AH84" s="295" t="e">
        <f>VLOOKUP(CONCATENATE(form!L60,".",form!N60),Лист1!$AO$43:$AQ$60,3,0)</f>
        <v>#N/A</v>
      </c>
      <c r="AI84" s="255"/>
      <c r="AJ84" s="300" t="e">
        <f>VLOOKUP(CONCATENATE(form!C60,".",form!D60,".",form!H60),Лист1!$DD:$DH,5,0)</f>
        <v>#N/A</v>
      </c>
      <c r="AK84" s="298"/>
      <c r="AL84" s="298"/>
      <c r="AM84" s="298"/>
      <c r="AN84" s="300" t="e">
        <f>VLOOKUP(CONCATENATE(form!C60,".",form!L60),Лист1!$DV:$DZ,5,0)</f>
        <v>#N/A</v>
      </c>
      <c r="AO84" s="298"/>
      <c r="AP84" s="300" t="e">
        <f>VLOOKUP(CONCATENATE(form!C60,".",form!D60,".",form!H60,".",form!F60),Лист1!$EH:$EL,5,0)</f>
        <v>#N/A</v>
      </c>
      <c r="AQ84" s="349"/>
      <c r="AR84" s="349"/>
      <c r="AS84" s="350" t="e">
        <f t="shared" si="42"/>
        <v>#N/A</v>
      </c>
      <c r="AT84" s="255"/>
      <c r="AU84" s="621">
        <f t="shared" si="40"/>
        <v>0</v>
      </c>
      <c r="AV84" s="351">
        <f t="shared" si="41"/>
        <v>0</v>
      </c>
      <c r="AX84" s="294"/>
    </row>
    <row r="85" spans="2:50" s="273" customFormat="1" ht="24.9" customHeight="1" x14ac:dyDescent="0.2">
      <c r="B85" s="382">
        <v>15</v>
      </c>
      <c r="C85" s="579" t="str">
        <f t="shared" si="31"/>
        <v/>
      </c>
      <c r="D85" s="580" t="str">
        <f t="shared" si="32"/>
        <v/>
      </c>
      <c r="E85" s="467" t="str">
        <f>IF(OR(J85=0,J85=""),"",VLOOKUP(R85,Лист1!$M:$O,3,0))</f>
        <v/>
      </c>
      <c r="F85" s="352" t="str">
        <f t="shared" si="33"/>
        <v/>
      </c>
      <c r="G85" s="590" t="str">
        <f t="shared" si="34"/>
        <v/>
      </c>
      <c r="H85" s="353" t="str">
        <f t="shared" si="35"/>
        <v/>
      </c>
      <c r="J85" s="345">
        <f>form!R61</f>
        <v>0</v>
      </c>
      <c r="K85" s="255"/>
      <c r="L85" s="346" t="str">
        <f t="shared" si="36"/>
        <v/>
      </c>
      <c r="M85" s="346" t="str">
        <f t="shared" si="37"/>
        <v/>
      </c>
      <c r="N85" s="346" t="str">
        <f t="shared" si="38"/>
        <v/>
      </c>
      <c r="O85" s="346" t="str">
        <f t="shared" si="39"/>
        <v/>
      </c>
      <c r="P85" s="255"/>
      <c r="Q85" s="255"/>
      <c r="R85" s="347" t="e">
        <f>VLOOKUP(CONCATENATE(form!C61,".",form!D61),Лист1!$L:$N,2,0)</f>
        <v>#N/A</v>
      </c>
      <c r="S85" s="348" t="e">
        <f>VLOOKUP(CONCATENATE(form!C61,".",form!D61),Лист1!$Q:$S,2,0)</f>
        <v>#N/A</v>
      </c>
      <c r="T85" s="348" t="e">
        <f>VLOOKUP(CONCATENATE(form!C61,".",form!E61,".",form!F61,".",form!G61),Лист1!$U:$W,2,0)</f>
        <v>#N/A</v>
      </c>
      <c r="U85" s="299" t="e">
        <f>VLOOKUP(form!I61,Лист1!$Y:$AA,2,0)</f>
        <v>#N/A</v>
      </c>
      <c r="V85" s="298"/>
      <c r="W85" s="298"/>
      <c r="X85" s="299" t="e">
        <f>VLOOKUP(form!L61,Лист1!$AK$63:$AM$77,2,0)</f>
        <v>#N/A</v>
      </c>
      <c r="Y85" s="299" t="e">
        <f>VLOOKUP(CONCATENATE(form!L61,".",form!N61),Лист1!$AO$43:$AQ$60,2,0)</f>
        <v>#N/A</v>
      </c>
      <c r="Z85" s="255"/>
      <c r="AA85" s="295" t="e">
        <f>VLOOKUP(CONCATENATE(form!C61,".",form!D61),Лист1!$L:$N,3,0)</f>
        <v>#N/A</v>
      </c>
      <c r="AB85" s="295" t="e">
        <f>VLOOKUP(CONCATENATE(form!C61,".",form!D61),Лист1!$Q:$S,3,0)</f>
        <v>#N/A</v>
      </c>
      <c r="AC85" s="346" t="e">
        <f>VLOOKUP(CONCATENATE(form!C61,".",form!E61,".",form!F61,".",form!G61),Лист1!$U:$W,3,0)</f>
        <v>#N/A</v>
      </c>
      <c r="AD85" s="295" t="e">
        <f>VLOOKUP(form!I61,Лист1!$Y:$AA,3,0)</f>
        <v>#N/A</v>
      </c>
      <c r="AE85" s="298"/>
      <c r="AF85" s="298"/>
      <c r="AG85" s="299" t="e">
        <f>VLOOKUP(form!L61,Лист1!$AK$63:$AM$77,3,0)</f>
        <v>#N/A</v>
      </c>
      <c r="AH85" s="295" t="e">
        <f>VLOOKUP(CONCATENATE(form!L61,".",form!N61),Лист1!$AO$43:$AQ$60,3,0)</f>
        <v>#N/A</v>
      </c>
      <c r="AI85" s="255"/>
      <c r="AJ85" s="300" t="e">
        <f>VLOOKUP(CONCATENATE(form!C61,".",form!D61,".",form!H61),Лист1!$DD:$DH,5,0)</f>
        <v>#N/A</v>
      </c>
      <c r="AK85" s="298"/>
      <c r="AL85" s="298"/>
      <c r="AM85" s="298"/>
      <c r="AN85" s="300" t="e">
        <f>VLOOKUP(CONCATENATE(form!C61,".",form!L61),Лист1!$DV:$DZ,5,0)</f>
        <v>#N/A</v>
      </c>
      <c r="AO85" s="298"/>
      <c r="AP85" s="300" t="e">
        <f>VLOOKUP(CONCATENATE(form!C61,".",form!D61,".",form!H61,".",form!F61),Лист1!$EH:$EL,5,0)</f>
        <v>#N/A</v>
      </c>
      <c r="AQ85" s="349"/>
      <c r="AR85" s="349"/>
      <c r="AS85" s="350" t="e">
        <f t="shared" si="42"/>
        <v>#N/A</v>
      </c>
      <c r="AT85" s="255"/>
      <c r="AU85" s="621">
        <f t="shared" si="40"/>
        <v>0</v>
      </c>
      <c r="AV85" s="351">
        <f t="shared" si="41"/>
        <v>0</v>
      </c>
      <c r="AX85" s="294"/>
    </row>
    <row r="86" spans="2:50" s="273" customFormat="1" ht="24.9" customHeight="1" x14ac:dyDescent="0.25">
      <c r="B86" s="569" t="str">
        <f>form!B63</f>
        <v>Розділ № 4: ФРАМУГИ</v>
      </c>
      <c r="C86" s="268"/>
      <c r="D86" s="463"/>
      <c r="E86" s="464"/>
      <c r="F86" s="271" t="str">
        <f>IF(H86="","","ИТОГО:")</f>
        <v/>
      </c>
      <c r="G86" s="585" t="str">
        <f>IF(J86=0,"",SUM(G87:G91))</f>
        <v/>
      </c>
      <c r="H86" s="272" t="str">
        <f>IF(J86=0,"",SUM(H87:H91))</f>
        <v/>
      </c>
      <c r="J86" s="325">
        <f>SUM(J87:J91)</f>
        <v>0</v>
      </c>
      <c r="L86" s="336"/>
      <c r="M86" s="336"/>
      <c r="N86" s="336"/>
      <c r="O86" s="336"/>
      <c r="P86" s="276"/>
      <c r="Q86" s="276"/>
      <c r="R86" s="354" t="s">
        <v>143</v>
      </c>
      <c r="S86" s="354" t="s">
        <v>142</v>
      </c>
      <c r="T86" s="277" t="s">
        <v>137</v>
      </c>
      <c r="U86" s="277" t="s">
        <v>141</v>
      </c>
      <c r="V86" s="277" t="s">
        <v>76</v>
      </c>
      <c r="W86" s="277" t="s">
        <v>78</v>
      </c>
      <c r="X86" s="277" t="s">
        <v>145</v>
      </c>
      <c r="Y86" s="277" t="s">
        <v>146</v>
      </c>
      <c r="AA86" s="354" t="s">
        <v>143</v>
      </c>
      <c r="AB86" s="277" t="s">
        <v>142</v>
      </c>
      <c r="AC86" s="277" t="s">
        <v>137</v>
      </c>
      <c r="AD86" s="277" t="s">
        <v>141</v>
      </c>
      <c r="AE86" s="277" t="s">
        <v>76</v>
      </c>
      <c r="AF86" s="277" t="s">
        <v>78</v>
      </c>
      <c r="AG86" s="277" t="s">
        <v>145</v>
      </c>
      <c r="AH86" s="277" t="s">
        <v>146</v>
      </c>
      <c r="AJ86" s="277" t="s">
        <v>121</v>
      </c>
      <c r="AK86" s="277" t="s">
        <v>205</v>
      </c>
      <c r="AL86" s="277" t="s">
        <v>144</v>
      </c>
      <c r="AM86" s="278"/>
      <c r="AN86" s="277" t="s">
        <v>173</v>
      </c>
      <c r="AO86" s="277" t="s">
        <v>86</v>
      </c>
      <c r="AP86" s="277" t="s">
        <v>43</v>
      </c>
      <c r="AQ86" s="355"/>
      <c r="AR86" s="355"/>
      <c r="AS86" s="354" t="s">
        <v>287</v>
      </c>
      <c r="AU86" s="622"/>
      <c r="AV86" s="356" t="s">
        <v>179</v>
      </c>
    </row>
    <row r="87" spans="2:50" s="273" customFormat="1" ht="24.9" customHeight="1" x14ac:dyDescent="0.2">
      <c r="B87" s="380">
        <v>1</v>
      </c>
      <c r="C87" s="566" t="str">
        <f t="shared" ref="C87:D91" si="43">IF(ISNA(L87),"",L87)</f>
        <v/>
      </c>
      <c r="D87" s="568" t="str">
        <f t="shared" si="43"/>
        <v/>
      </c>
      <c r="E87" s="462" t="str">
        <f>IF(OR(J87=0,J87=""),"",VLOOKUP(R87,Лист1!$M:$O,3,0))</f>
        <v/>
      </c>
      <c r="F87" s="303" t="str">
        <f>IF(ISNA(N87),"",N87)</f>
        <v/>
      </c>
      <c r="G87" s="587" t="str">
        <f>IF(J87=0,"",J87)</f>
        <v/>
      </c>
      <c r="H87" s="304" t="str">
        <f>IF(ISNA(O87),"",O87)</f>
        <v/>
      </c>
      <c r="J87" s="329">
        <f>form!R65</f>
        <v>0</v>
      </c>
      <c r="L87" s="346" t="str">
        <f>IF(G87="","",CONCATENATE(R87,".",T87,".",S87,".",U87,".",W87))</f>
        <v/>
      </c>
      <c r="M87" s="346" t="str">
        <f>IF(G87="","",CONCATENATE(AA87,", ",AB87,", ",AC87,", ",AD87,", ",AF87,))</f>
        <v/>
      </c>
      <c r="N87" s="346" t="str">
        <f>IF(G87="","",AS87*(1-$G$1))</f>
        <v/>
      </c>
      <c r="O87" s="346" t="str">
        <f>IF(F87="","",G87*F87)</f>
        <v/>
      </c>
      <c r="P87" s="255"/>
      <c r="Q87" s="255"/>
      <c r="R87" s="347" t="e">
        <f>VLOOKUP(CONCATENATE(form!C65,".",form!D65),Лист1!$L:$N,2,0)</f>
        <v>#N/A</v>
      </c>
      <c r="S87" s="348" t="e">
        <f>VLOOKUP(CONCATENATE(form!C65,".",form!D65),Лист1!$Q:$S,2,0)</f>
        <v>#N/A</v>
      </c>
      <c r="T87" s="348" t="str">
        <f>CONCATENATE(form!F65,"-",form!G65)</f>
        <v>-</v>
      </c>
      <c r="U87" s="343" t="e">
        <f>VLOOKUP(form!I65,Лист1!$Y:$AA,2,0)</f>
        <v>#N/A</v>
      </c>
      <c r="V87" s="298"/>
      <c r="W87" s="343" t="e">
        <f>VLOOKUP(form!K65,Лист1!$AG:$AI,2,0)</f>
        <v>#N/A</v>
      </c>
      <c r="X87" s="298"/>
      <c r="Y87" s="298"/>
      <c r="Z87" s="255"/>
      <c r="AA87" s="295" t="e">
        <f>VLOOKUP(CONCATENATE(form!C65,".",form!D65),Лист1!$L:$N,3,0)</f>
        <v>#N/A</v>
      </c>
      <c r="AB87" s="295" t="e">
        <f>VLOOKUP(CONCATENATE(form!C65,".",form!D65),Лист1!$Q:$S,3,0)</f>
        <v>#N/A</v>
      </c>
      <c r="AC87" s="346" t="str">
        <f>CONCATENATE("размер(мм): ",form!F65,"*",form!G65)</f>
        <v>размер(мм): *</v>
      </c>
      <c r="AD87" s="295" t="e">
        <f>VLOOKUP(form!I65,Лист1!$Y:$AA,3,0)</f>
        <v>#N/A</v>
      </c>
      <c r="AE87" s="298"/>
      <c r="AF87" s="357" t="e">
        <f>VLOOKUP(form!K65,Лист1!$AG:$AI,3,0)</f>
        <v>#N/A</v>
      </c>
      <c r="AG87" s="298"/>
      <c r="AH87" s="298"/>
      <c r="AI87" s="255"/>
      <c r="AJ87" s="300" t="e">
        <f>(VLOOKUP(CONCATENATE(form!C65,".",form!D65,".",form!H65),Лист1!$DD:$DH,5,0))*(((form!F65/1000)*2)+((form!G65/1000)*2))</f>
        <v>#N/A</v>
      </c>
      <c r="AK87" s="298"/>
      <c r="AL87" s="300" t="e">
        <f>(VLOOKUP(CONCATENATE(form!C65,".",form!K65),Лист1!$DP:$DT,5,0))*((form!F65/1000)*(form!G65/1000))</f>
        <v>#N/A</v>
      </c>
      <c r="AM87" s="298"/>
      <c r="AN87" s="298"/>
      <c r="AO87" s="298"/>
      <c r="AP87" s="298"/>
      <c r="AQ87" s="298"/>
      <c r="AR87" s="298"/>
      <c r="AS87" s="350" t="e">
        <f>ROUND(SUM(AJ87:AQ87),2)</f>
        <v>#N/A</v>
      </c>
      <c r="AT87" s="255"/>
      <c r="AU87" s="621">
        <f>IF(ISNA(AV87),"0",AV87)</f>
        <v>0</v>
      </c>
      <c r="AV87" s="351">
        <f>IF(G87="",0,ROUND(AS87*G87,2))</f>
        <v>0</v>
      </c>
      <c r="AX87" s="294"/>
    </row>
    <row r="88" spans="2:50" s="273" customFormat="1" ht="24.9" customHeight="1" x14ac:dyDescent="0.2">
      <c r="B88" s="381">
        <v>2</v>
      </c>
      <c r="C88" s="566" t="str">
        <f t="shared" si="43"/>
        <v/>
      </c>
      <c r="D88" s="568" t="str">
        <f t="shared" si="43"/>
        <v/>
      </c>
      <c r="E88" s="462" t="str">
        <f>IF(OR(J88=0,J88=""),"",VLOOKUP(R88,Лист1!$M:$O,3,0))</f>
        <v/>
      </c>
      <c r="F88" s="303" t="str">
        <f>IF(ISNA(N88),"",N88)</f>
        <v/>
      </c>
      <c r="G88" s="587" t="str">
        <f>IF(J88=0,"",J88)</f>
        <v/>
      </c>
      <c r="H88" s="304" t="str">
        <f>IF(ISNA(O88),"",O88)</f>
        <v/>
      </c>
      <c r="J88" s="345">
        <f>form!R66</f>
        <v>0</v>
      </c>
      <c r="L88" s="346" t="str">
        <f>IF(G88="","",CONCATENATE(R88,".",T88,".",S88,".",U88,".",W88))</f>
        <v/>
      </c>
      <c r="M88" s="346" t="str">
        <f>IF(G88="","",CONCATENATE(AA88,", ",AB88,", ",AC88,", ",AD88,", ",AF88,))</f>
        <v/>
      </c>
      <c r="N88" s="346" t="str">
        <f>IF(G88="","",AS88*(1-$G$1))</f>
        <v/>
      </c>
      <c r="O88" s="346" t="str">
        <f>IF(F88="","",G88*F88)</f>
        <v/>
      </c>
      <c r="P88" s="255"/>
      <c r="Q88" s="255"/>
      <c r="R88" s="347" t="e">
        <f>VLOOKUP(CONCATENATE(form!C66,".",form!D66),Лист1!$L:$N,2,0)</f>
        <v>#N/A</v>
      </c>
      <c r="S88" s="348" t="e">
        <f>VLOOKUP(CONCATENATE(form!C66,".",form!D66),Лист1!$Q:$S,2,0)</f>
        <v>#N/A</v>
      </c>
      <c r="T88" s="348" t="str">
        <f>CONCATENATE(form!F66,"-",form!G66)</f>
        <v>-</v>
      </c>
      <c r="U88" s="299" t="e">
        <f>VLOOKUP(form!I66,Лист1!$Y:$AA,2,0)</f>
        <v>#N/A</v>
      </c>
      <c r="V88" s="298"/>
      <c r="W88" s="299" t="e">
        <f>VLOOKUP(form!K66,Лист1!$AG:$AI,2,0)</f>
        <v>#N/A</v>
      </c>
      <c r="X88" s="298"/>
      <c r="Y88" s="298"/>
      <c r="Z88" s="255"/>
      <c r="AA88" s="295" t="e">
        <f>VLOOKUP(CONCATENATE(form!C66,".",form!D66),Лист1!$L:$N,3,0)</f>
        <v>#N/A</v>
      </c>
      <c r="AB88" s="295" t="e">
        <f>VLOOKUP(CONCATENATE(form!C66,".",form!D66),Лист1!$Q:$S,3,0)</f>
        <v>#N/A</v>
      </c>
      <c r="AC88" s="346" t="str">
        <f>CONCATENATE("размер(мм): ",form!F66,"*",form!G66)</f>
        <v>размер(мм): *</v>
      </c>
      <c r="AD88" s="295" t="e">
        <f>VLOOKUP(form!I66,Лист1!$Y:$AA,3,0)</f>
        <v>#N/A</v>
      </c>
      <c r="AE88" s="298"/>
      <c r="AF88" s="357" t="e">
        <f>VLOOKUP(form!K66,Лист1!$AG:$AI,3,0)</f>
        <v>#N/A</v>
      </c>
      <c r="AG88" s="298"/>
      <c r="AH88" s="298"/>
      <c r="AI88" s="255"/>
      <c r="AJ88" s="300" t="e">
        <f>(VLOOKUP(CONCATENATE(form!C66,".",form!D66,".",form!H66),Лист1!$DD:$DH,5,0))*(((form!F66/1000)*2)+((form!G66/1000)*2))</f>
        <v>#N/A</v>
      </c>
      <c r="AK88" s="298"/>
      <c r="AL88" s="300" t="e">
        <f>(VLOOKUP(CONCATENATE(form!C66,".",form!K66),Лист1!$DP:$DT,5,0))*((form!F66/1000)*(form!G66/1000))</f>
        <v>#N/A</v>
      </c>
      <c r="AM88" s="298"/>
      <c r="AN88" s="298"/>
      <c r="AO88" s="298"/>
      <c r="AP88" s="298"/>
      <c r="AQ88" s="298"/>
      <c r="AR88" s="298"/>
      <c r="AS88" s="350" t="e">
        <f>ROUND(SUM(AJ88:AQ88),2)</f>
        <v>#N/A</v>
      </c>
      <c r="AT88" s="255"/>
      <c r="AU88" s="621">
        <f>IF(ISNA(AV88),"0",AV88)</f>
        <v>0</v>
      </c>
      <c r="AV88" s="351">
        <f>IF(G88="",0,ROUND(AS88*G88,2))</f>
        <v>0</v>
      </c>
      <c r="AX88" s="294"/>
    </row>
    <row r="89" spans="2:50" s="273" customFormat="1" ht="24.9" customHeight="1" x14ac:dyDescent="0.2">
      <c r="B89" s="381">
        <v>3</v>
      </c>
      <c r="C89" s="566" t="str">
        <f t="shared" si="43"/>
        <v/>
      </c>
      <c r="D89" s="568" t="str">
        <f t="shared" si="43"/>
        <v/>
      </c>
      <c r="E89" s="462" t="str">
        <f>IF(OR(J89=0,J89=""),"",VLOOKUP(R89,Лист1!$M:$O,3,0))</f>
        <v/>
      </c>
      <c r="F89" s="303" t="str">
        <f>IF(ISNA(N89),"",N89)</f>
        <v/>
      </c>
      <c r="G89" s="587" t="str">
        <f>IF(J89=0,"",J89)</f>
        <v/>
      </c>
      <c r="H89" s="304" t="str">
        <f>IF(ISNA(O89),"",O89)</f>
        <v/>
      </c>
      <c r="J89" s="345">
        <f>form!R67</f>
        <v>0</v>
      </c>
      <c r="K89" s="255"/>
      <c r="L89" s="346" t="str">
        <f>IF(G89="","",CONCATENATE(R89,".",T89,".",S89,".",U89,".",W89))</f>
        <v/>
      </c>
      <c r="M89" s="346" t="str">
        <f>IF(G89="","",CONCATENATE(AA89,", ",AB89,", ",AC89,", ",AD89,", ",AF89,))</f>
        <v/>
      </c>
      <c r="N89" s="346" t="str">
        <f>IF(G89="","",AS89*(1-$G$1))</f>
        <v/>
      </c>
      <c r="O89" s="346" t="str">
        <f>IF(F89="","",G89*F89)</f>
        <v/>
      </c>
      <c r="P89" s="255"/>
      <c r="Q89" s="255"/>
      <c r="R89" s="347" t="e">
        <f>VLOOKUP(CONCATENATE(form!C67,".",form!D67),Лист1!$L:$N,2,0)</f>
        <v>#N/A</v>
      </c>
      <c r="S89" s="348" t="e">
        <f>VLOOKUP(CONCATENATE(form!C67,".",form!D67),Лист1!$Q:$S,2,0)</f>
        <v>#N/A</v>
      </c>
      <c r="T89" s="348" t="str">
        <f>CONCATENATE(form!F67,"-",form!G67)</f>
        <v>-</v>
      </c>
      <c r="U89" s="299" t="e">
        <f>VLOOKUP(form!I67,Лист1!$Y:$AA,2,0)</f>
        <v>#N/A</v>
      </c>
      <c r="V89" s="298"/>
      <c r="W89" s="299" t="e">
        <f>VLOOKUP(form!K67,Лист1!$AG:$AI,2,0)</f>
        <v>#N/A</v>
      </c>
      <c r="X89" s="298"/>
      <c r="Y89" s="298"/>
      <c r="Z89" s="255"/>
      <c r="AA89" s="295" t="e">
        <f>VLOOKUP(CONCATENATE(form!C67,".",form!D67),Лист1!$L:$N,3,0)</f>
        <v>#N/A</v>
      </c>
      <c r="AB89" s="295" t="e">
        <f>VLOOKUP(CONCATENATE(form!C67,".",form!D67),Лист1!$Q:$S,3,0)</f>
        <v>#N/A</v>
      </c>
      <c r="AC89" s="346" t="str">
        <f>CONCATENATE("размер(мм): ",form!F67,"*",form!G67)</f>
        <v>размер(мм): *</v>
      </c>
      <c r="AD89" s="295" t="e">
        <f>VLOOKUP(form!I67,Лист1!$Y:$AA,3,0)</f>
        <v>#N/A</v>
      </c>
      <c r="AE89" s="298"/>
      <c r="AF89" s="357" t="e">
        <f>VLOOKUP(form!K67,Лист1!$AG:$AI,3,0)</f>
        <v>#N/A</v>
      </c>
      <c r="AG89" s="298"/>
      <c r="AH89" s="298"/>
      <c r="AI89" s="255"/>
      <c r="AJ89" s="300" t="e">
        <f>(VLOOKUP(CONCATENATE(form!C67,".",form!D67,".",form!H67),Лист1!$DD:$DH,5,0))*(((form!F67/1000)*2)+((form!G67/1000)*2))</f>
        <v>#N/A</v>
      </c>
      <c r="AK89" s="298"/>
      <c r="AL89" s="300" t="e">
        <f>(VLOOKUP(CONCATENATE(form!C67,".",form!K67),Лист1!$DP:$DT,5,0))*((form!F67/1000)*(form!G67/1000))</f>
        <v>#N/A</v>
      </c>
      <c r="AM89" s="298"/>
      <c r="AN89" s="298"/>
      <c r="AO89" s="298"/>
      <c r="AP89" s="298"/>
      <c r="AQ89" s="298"/>
      <c r="AR89" s="298"/>
      <c r="AS89" s="350" t="e">
        <f>ROUND(SUM(AJ89:AQ89),2)</f>
        <v>#N/A</v>
      </c>
      <c r="AT89" s="255"/>
      <c r="AU89" s="621">
        <f>IF(ISNA(AV89),"0",AV89)</f>
        <v>0</v>
      </c>
      <c r="AV89" s="351">
        <f>IF(G89="",0,ROUND(AS89*G89,2))</f>
        <v>0</v>
      </c>
      <c r="AX89" s="294"/>
    </row>
    <row r="90" spans="2:50" s="273" customFormat="1" ht="24.9" customHeight="1" x14ac:dyDescent="0.2">
      <c r="B90" s="381">
        <v>4</v>
      </c>
      <c r="C90" s="566" t="str">
        <f t="shared" si="43"/>
        <v/>
      </c>
      <c r="D90" s="568" t="str">
        <f t="shared" si="43"/>
        <v/>
      </c>
      <c r="E90" s="462" t="str">
        <f>IF(OR(J90=0,J90=""),"",VLOOKUP(R90,Лист1!$M:$O,3,0))</f>
        <v/>
      </c>
      <c r="F90" s="303" t="str">
        <f>IF(ISNA(N90),"",N90)</f>
        <v/>
      </c>
      <c r="G90" s="587" t="str">
        <f>IF(J90=0,"",J90)</f>
        <v/>
      </c>
      <c r="H90" s="304" t="str">
        <f>IF(ISNA(O90),"",O90)</f>
        <v/>
      </c>
      <c r="J90" s="345">
        <f>form!R68</f>
        <v>0</v>
      </c>
      <c r="K90" s="255"/>
      <c r="L90" s="346" t="str">
        <f>IF(G90="","",CONCATENATE(R90,".",T90,".",S90,".",U90,".",W90))</f>
        <v/>
      </c>
      <c r="M90" s="346" t="str">
        <f>IF(G90="","",CONCATENATE(AA90,", ",AB90,", ",AC90,", ",AD90,", ",AF90,))</f>
        <v/>
      </c>
      <c r="N90" s="346" t="str">
        <f>IF(G90="","",AS90*(1-$G$1))</f>
        <v/>
      </c>
      <c r="O90" s="346" t="str">
        <f>IF(F90="","",G90*F90)</f>
        <v/>
      </c>
      <c r="P90" s="255"/>
      <c r="Q90" s="255"/>
      <c r="R90" s="347" t="e">
        <f>VLOOKUP(CONCATENATE(form!C68,".",form!D68),Лист1!$L:$N,2,0)</f>
        <v>#N/A</v>
      </c>
      <c r="S90" s="348" t="e">
        <f>VLOOKUP(CONCATENATE(form!C68,".",form!D68),Лист1!$Q:$S,2,0)</f>
        <v>#N/A</v>
      </c>
      <c r="T90" s="348" t="str">
        <f>CONCATENATE(form!F68,"-",form!G68)</f>
        <v>-</v>
      </c>
      <c r="U90" s="299" t="e">
        <f>VLOOKUP(form!I68,Лист1!$Y:$AA,2,0)</f>
        <v>#N/A</v>
      </c>
      <c r="V90" s="298"/>
      <c r="W90" s="299" t="e">
        <f>VLOOKUP(form!K68,Лист1!$AG:$AI,2,0)</f>
        <v>#N/A</v>
      </c>
      <c r="X90" s="298"/>
      <c r="Y90" s="298"/>
      <c r="Z90" s="255"/>
      <c r="AA90" s="295" t="e">
        <f>VLOOKUP(CONCATENATE(form!C68,".",form!D68),Лист1!$L:$N,3,0)</f>
        <v>#N/A</v>
      </c>
      <c r="AB90" s="295" t="e">
        <f>VLOOKUP(CONCATENATE(form!C68,".",form!D68),Лист1!$Q:$S,3,0)</f>
        <v>#N/A</v>
      </c>
      <c r="AC90" s="346" t="str">
        <f>CONCATENATE("размер(мм): ",form!F68,"*",form!G68)</f>
        <v>размер(мм): *</v>
      </c>
      <c r="AD90" s="295" t="e">
        <f>VLOOKUP(form!I68,Лист1!$Y:$AA,3,0)</f>
        <v>#N/A</v>
      </c>
      <c r="AE90" s="298"/>
      <c r="AF90" s="357" t="e">
        <f>VLOOKUP(form!K68,Лист1!$AG:$AI,3,0)</f>
        <v>#N/A</v>
      </c>
      <c r="AG90" s="298"/>
      <c r="AH90" s="298"/>
      <c r="AI90" s="255"/>
      <c r="AJ90" s="300" t="e">
        <f>(VLOOKUP(CONCATENATE(form!C68,".",form!D68,".",form!H68),Лист1!$DD:$DH,5,0))*(((form!F68/1000)*2)+((form!G68/1000)*2))</f>
        <v>#N/A</v>
      </c>
      <c r="AK90" s="298"/>
      <c r="AL90" s="300" t="e">
        <f>(VLOOKUP(CONCATENATE(form!C68,".",form!K68),Лист1!$DP:$DT,5,0))*((form!F68/1000)*(form!G68/1000))</f>
        <v>#N/A</v>
      </c>
      <c r="AM90" s="298"/>
      <c r="AN90" s="298"/>
      <c r="AO90" s="298"/>
      <c r="AP90" s="298"/>
      <c r="AQ90" s="298"/>
      <c r="AR90" s="298"/>
      <c r="AS90" s="350" t="e">
        <f>ROUND(SUM(AJ90:AQ90),2)</f>
        <v>#N/A</v>
      </c>
      <c r="AT90" s="255"/>
      <c r="AU90" s="621">
        <f>IF(ISNA(AV90),"0",AV90)</f>
        <v>0</v>
      </c>
      <c r="AV90" s="351">
        <f>IF(G90="",0,ROUND(AS90*G90,2))</f>
        <v>0</v>
      </c>
      <c r="AX90" s="294"/>
    </row>
    <row r="91" spans="2:50" s="273" customFormat="1" ht="24.9" customHeight="1" x14ac:dyDescent="0.2">
      <c r="B91" s="382">
        <v>5</v>
      </c>
      <c r="C91" s="566" t="str">
        <f t="shared" si="43"/>
        <v/>
      </c>
      <c r="D91" s="568" t="str">
        <f t="shared" si="43"/>
        <v/>
      </c>
      <c r="E91" s="462" t="str">
        <f>IF(OR(J91=0,J91=""),"",VLOOKUP(R91,Лист1!$M:$O,3,0))</f>
        <v/>
      </c>
      <c r="F91" s="303" t="str">
        <f>IF(ISNA(N91),"",N91)</f>
        <v/>
      </c>
      <c r="G91" s="587" t="str">
        <f>IF(J91=0,"",J91)</f>
        <v/>
      </c>
      <c r="H91" s="304" t="str">
        <f>IF(ISNA(O91),"",O91)</f>
        <v/>
      </c>
      <c r="J91" s="345">
        <f>form!R69</f>
        <v>0</v>
      </c>
      <c r="K91" s="255"/>
      <c r="L91" s="346" t="str">
        <f>IF(G91="","",CONCATENATE(R91,".",T91,".",S91,".",U91,".",W91))</f>
        <v/>
      </c>
      <c r="M91" s="346" t="str">
        <f>IF(G91="","",CONCATENATE(AA91,", ",AB91,", ",AC91,", ",AD91,", ",AF91,))</f>
        <v/>
      </c>
      <c r="N91" s="346" t="str">
        <f>IF(G91="","",AS91*(1-$G$1))</f>
        <v/>
      </c>
      <c r="O91" s="346" t="str">
        <f>IF(F91="","",G91*F91)</f>
        <v/>
      </c>
      <c r="P91" s="255"/>
      <c r="Q91" s="255"/>
      <c r="R91" s="347" t="e">
        <f>VLOOKUP(CONCATENATE(form!C69,".",form!D69),Лист1!$L:$N,2,0)</f>
        <v>#N/A</v>
      </c>
      <c r="S91" s="348" t="e">
        <f>VLOOKUP(CONCATENATE(form!C69,".",form!D69),Лист1!$Q:$S,2,0)</f>
        <v>#N/A</v>
      </c>
      <c r="T91" s="348" t="str">
        <f>CONCATENATE(form!F69,"-",form!G69)</f>
        <v>-</v>
      </c>
      <c r="U91" s="299" t="e">
        <f>VLOOKUP(form!I69,Лист1!$Y:$AA,2,0)</f>
        <v>#N/A</v>
      </c>
      <c r="V91" s="298"/>
      <c r="W91" s="299" t="e">
        <f>VLOOKUP(form!K69,Лист1!$AG:$AI,2,0)</f>
        <v>#N/A</v>
      </c>
      <c r="X91" s="298"/>
      <c r="Y91" s="298"/>
      <c r="Z91" s="255"/>
      <c r="AA91" s="295" t="e">
        <f>VLOOKUP(CONCATENATE(form!C69,".",form!D69),Лист1!$L:$N,3,0)</f>
        <v>#N/A</v>
      </c>
      <c r="AB91" s="295" t="e">
        <f>VLOOKUP(CONCATENATE(form!C69,".",form!D69),Лист1!$Q:$S,3,0)</f>
        <v>#N/A</v>
      </c>
      <c r="AC91" s="346" t="str">
        <f>CONCATENATE("размер(мм): ",form!F69,"*",form!G69)</f>
        <v>размер(мм): *</v>
      </c>
      <c r="AD91" s="295" t="e">
        <f>VLOOKUP(form!I69,Лист1!$Y:$AA,3,0)</f>
        <v>#N/A</v>
      </c>
      <c r="AE91" s="298"/>
      <c r="AF91" s="357" t="e">
        <f>VLOOKUP(form!K69,Лист1!$AG:$AI,3,0)</f>
        <v>#N/A</v>
      </c>
      <c r="AG91" s="298"/>
      <c r="AH91" s="298"/>
      <c r="AI91" s="255"/>
      <c r="AJ91" s="300" t="e">
        <f>(VLOOKUP(CONCATENATE(form!C69,".",form!D69,".",form!H69),Лист1!$DD:$DH,5,0))*(((form!F69/1000)*2)+((form!G69/1000)*2))</f>
        <v>#N/A</v>
      </c>
      <c r="AK91" s="298"/>
      <c r="AL91" s="300" t="e">
        <f>(VLOOKUP(CONCATENATE(form!C69,".",form!K69),Лист1!$DP:$DT,5,0))*((form!F69/1000)*(form!G69/1000))</f>
        <v>#N/A</v>
      </c>
      <c r="AM91" s="298"/>
      <c r="AN91" s="298"/>
      <c r="AO91" s="298"/>
      <c r="AP91" s="298"/>
      <c r="AQ91" s="298"/>
      <c r="AR91" s="298"/>
      <c r="AS91" s="350" t="e">
        <f>ROUND(SUM(AJ91:AQ91),2)</f>
        <v>#N/A</v>
      </c>
      <c r="AT91" s="255"/>
      <c r="AU91" s="621">
        <f>IF(ISNA(AV91),"0",AV91)</f>
        <v>0</v>
      </c>
      <c r="AV91" s="351">
        <f>IF(G91="",0,ROUND(AS91*G91,2))</f>
        <v>0</v>
      </c>
      <c r="AX91" s="294"/>
    </row>
    <row r="92" spans="2:50" s="273" customFormat="1" ht="24.9" customHeight="1" x14ac:dyDescent="0.25">
      <c r="B92" s="569" t="str">
        <f>form!B71</f>
        <v>Розділ № 5:ЛИШТВА / ДОБРІ ПЛАНКИ / ІНШІ АКСЕСУАРИ</v>
      </c>
      <c r="C92" s="268"/>
      <c r="D92" s="463"/>
      <c r="E92" s="464"/>
      <c r="F92" s="271" t="str">
        <f>IF(H92="","","ИТОГО:")</f>
        <v/>
      </c>
      <c r="G92" s="585" t="str">
        <f>IF(J92=0,"",SUM(G93:G112))</f>
        <v/>
      </c>
      <c r="H92" s="272" t="str">
        <f>IF(J92=0,"",SUM(H93:H112))</f>
        <v/>
      </c>
      <c r="J92" s="325">
        <f>SUM(J93:J112)</f>
        <v>0</v>
      </c>
      <c r="L92" s="336"/>
      <c r="M92" s="336"/>
      <c r="N92" s="336"/>
      <c r="O92" s="336"/>
      <c r="P92" s="276"/>
      <c r="Q92" s="276"/>
      <c r="R92" s="354" t="s">
        <v>143</v>
      </c>
      <c r="S92" s="354" t="s">
        <v>142</v>
      </c>
      <c r="T92" s="277" t="s">
        <v>137</v>
      </c>
      <c r="U92" s="277" t="s">
        <v>141</v>
      </c>
      <c r="V92" s="277" t="s">
        <v>76</v>
      </c>
      <c r="W92" s="277" t="s">
        <v>78</v>
      </c>
      <c r="X92" s="277" t="s">
        <v>145</v>
      </c>
      <c r="Y92" s="277" t="s">
        <v>146</v>
      </c>
      <c r="AA92" s="354" t="s">
        <v>143</v>
      </c>
      <c r="AB92" s="354" t="s">
        <v>142</v>
      </c>
      <c r="AC92" s="277" t="s">
        <v>137</v>
      </c>
      <c r="AD92" s="277" t="s">
        <v>141</v>
      </c>
      <c r="AE92" s="277" t="s">
        <v>76</v>
      </c>
      <c r="AF92" s="277" t="s">
        <v>78</v>
      </c>
      <c r="AG92" s="277" t="s">
        <v>145</v>
      </c>
      <c r="AH92" s="277" t="s">
        <v>146</v>
      </c>
      <c r="AJ92" s="277" t="s">
        <v>121</v>
      </c>
      <c r="AK92" s="277" t="s">
        <v>205</v>
      </c>
      <c r="AL92" s="277" t="s">
        <v>144</v>
      </c>
      <c r="AM92" s="278"/>
      <c r="AN92" s="277" t="s">
        <v>173</v>
      </c>
      <c r="AO92" s="277" t="s">
        <v>86</v>
      </c>
      <c r="AP92" s="277" t="s">
        <v>43</v>
      </c>
      <c r="AQ92" s="355"/>
      <c r="AR92" s="355"/>
      <c r="AS92" s="277" t="s">
        <v>287</v>
      </c>
      <c r="AU92" s="622"/>
      <c r="AV92" s="356" t="s">
        <v>179</v>
      </c>
    </row>
    <row r="93" spans="2:50" s="273" customFormat="1" ht="24.9" customHeight="1" x14ac:dyDescent="0.2">
      <c r="B93" s="380">
        <v>1</v>
      </c>
      <c r="C93" s="575" t="str">
        <f>IF(ISNA(L93),"",L93)</f>
        <v/>
      </c>
      <c r="D93" s="576" t="str">
        <f>IF(ISNA(M93),"",M93)</f>
        <v/>
      </c>
      <c r="E93" s="465" t="str">
        <f>IF(OR(J93=0,J93=""),"",VLOOKUP(R93,Лист1!$M:$O,3,0))</f>
        <v/>
      </c>
      <c r="F93" s="327" t="str">
        <f>IF(ISNA(N93),"",N93)</f>
        <v/>
      </c>
      <c r="G93" s="588" t="str">
        <f>IF(J93=0,"",J93)</f>
        <v/>
      </c>
      <c r="H93" s="328" t="str">
        <f>IF(ISNA(O93),"",O93)</f>
        <v/>
      </c>
      <c r="J93" s="329">
        <f>form!R73</f>
        <v>0</v>
      </c>
      <c r="L93" s="275" t="str">
        <f>IF(G93="","",CONCATENATE(R93,".",T93,".",S93,".",U93))</f>
        <v/>
      </c>
      <c r="M93" s="275" t="str">
        <f>IF(G93="","",CONCATENATE(AA93,", ",AC93,", ",AD93))</f>
        <v/>
      </c>
      <c r="N93" s="275" t="str">
        <f>IF(G93="","",AS93*(1-$G$1))</f>
        <v/>
      </c>
      <c r="O93" s="275" t="str">
        <f>IF(F93="","",G93*F93)</f>
        <v/>
      </c>
      <c r="R93" s="330" t="e">
        <f>VLOOKUP(form!C73,Лист1!$L:$N,2,0)</f>
        <v>#N/A</v>
      </c>
      <c r="S93" s="331" t="e">
        <f>VLOOKUP(form!C73,Лист1!$Q:$S,2,0)</f>
        <v>#N/A</v>
      </c>
      <c r="T93" s="331" t="e">
        <f>VLOOKUP(CONCATENATE(form!C73,".",form!G73),Лист1!$U:$W,2,0)</f>
        <v>#N/A</v>
      </c>
      <c r="U93" s="299" t="e">
        <f>VLOOKUP(form!I73,Лист1!$Y:$AA,2,0)</f>
        <v>#N/A</v>
      </c>
      <c r="V93" s="301"/>
      <c r="W93" s="301"/>
      <c r="X93" s="301"/>
      <c r="Y93" s="301"/>
      <c r="AA93" s="332" t="e">
        <f>VLOOKUP(form!C73,Лист1!$L:$N,3,0)</f>
        <v>#N/A</v>
      </c>
      <c r="AB93" s="302"/>
      <c r="AC93" s="358" t="e">
        <f>VLOOKUP(CONCATENATE(form!C73,".",form!G73),Лист1!$U:$W,3,0)</f>
        <v>#N/A</v>
      </c>
      <c r="AD93" s="358" t="e">
        <f>VLOOKUP(form!I73,Лист1!$Y:$AA,3,0)</f>
        <v>#N/A</v>
      </c>
      <c r="AE93" s="302"/>
      <c r="AF93" s="301"/>
      <c r="AG93" s="301"/>
      <c r="AH93" s="301"/>
      <c r="AJ93" s="344" t="e">
        <f>VLOOKUP(CONCATENATE(form!C73,".",form!H73),Лист1!$DD:$DH,5,0)</f>
        <v>#N/A</v>
      </c>
      <c r="AK93" s="359"/>
      <c r="AL93" s="359"/>
      <c r="AM93" s="359"/>
      <c r="AN93" s="359"/>
      <c r="AO93" s="359"/>
      <c r="AP93" s="344" t="e">
        <f>VLOOKUP(CONCATENATE(form!C73,".",form!H73,".",form!F73),Лист1!$EH:$EL,5,0)</f>
        <v>#N/A</v>
      </c>
      <c r="AQ93" s="302"/>
      <c r="AR93" s="302"/>
      <c r="AS93" s="350" t="e">
        <f>SUM(AJ93:AQ93)</f>
        <v>#N/A</v>
      </c>
      <c r="AU93" s="616">
        <f>IF(ISNA(AV93),"0",AV93)</f>
        <v>0</v>
      </c>
      <c r="AV93" s="294">
        <f>IF(G93="",0,ROUND(AS93*G93,2))</f>
        <v>0</v>
      </c>
      <c r="AX93" s="294"/>
    </row>
    <row r="94" spans="2:50" s="273" customFormat="1" ht="24.9" customHeight="1" x14ac:dyDescent="0.2">
      <c r="B94" s="381">
        <v>2</v>
      </c>
      <c r="C94" s="577" t="str">
        <f t="shared" ref="C94:C102" si="44">IF(ISNA(L94),"",L94)</f>
        <v/>
      </c>
      <c r="D94" s="578" t="str">
        <f t="shared" ref="D94:D102" si="45">IF(ISNA(M94),"",M94)</f>
        <v/>
      </c>
      <c r="E94" s="466" t="str">
        <f>IF(OR(J94=0,J94=""),"",VLOOKUP(R94,Лист1!$M:$O,3,0))</f>
        <v/>
      </c>
      <c r="F94" s="334" t="str">
        <f t="shared" ref="F94:F102" si="46">IF(ISNA(N94),"",N94)</f>
        <v/>
      </c>
      <c r="G94" s="589" t="str">
        <f t="shared" ref="G94:G102" si="47">IF(J94=0,"",J94)</f>
        <v/>
      </c>
      <c r="H94" s="335" t="str">
        <f t="shared" ref="H94:H102" si="48">IF(ISNA(O94),"",O94)</f>
        <v/>
      </c>
      <c r="J94" s="329">
        <f>form!R74</f>
        <v>0</v>
      </c>
      <c r="L94" s="275" t="str">
        <f t="shared" ref="L94:L102" si="49">IF(G94="","",CONCATENATE(R94,".",T94,".",S94,".",U94))</f>
        <v/>
      </c>
      <c r="M94" s="275" t="str">
        <f t="shared" ref="M94:M102" si="50">IF(G94="","",CONCATENATE(AA94,", ",AC94,", ",AD94))</f>
        <v/>
      </c>
      <c r="N94" s="275" t="str">
        <f>IF(G94="","",AS94*(1-$G$1))</f>
        <v/>
      </c>
      <c r="O94" s="275" t="str">
        <f>IF(F94="","",G94*F94)</f>
        <v/>
      </c>
      <c r="R94" s="330" t="e">
        <f>VLOOKUP(form!C74,Лист1!$L:$N,2,0)</f>
        <v>#N/A</v>
      </c>
      <c r="S94" s="331" t="e">
        <f>VLOOKUP(form!C74,Лист1!$Q:$S,2,0)</f>
        <v>#N/A</v>
      </c>
      <c r="T94" s="331" t="e">
        <f>VLOOKUP(CONCATENATE(form!C74,".",form!G74),Лист1!$U:$W,2,0)</f>
        <v>#N/A</v>
      </c>
      <c r="U94" s="299" t="e">
        <f>VLOOKUP(form!I74,Лист1!$Y:$AA,2,0)</f>
        <v>#N/A</v>
      </c>
      <c r="V94" s="301"/>
      <c r="W94" s="301"/>
      <c r="X94" s="301"/>
      <c r="Y94" s="301"/>
      <c r="AA94" s="332" t="e">
        <f>VLOOKUP(form!C74,Лист1!$L:$N,3,0)</f>
        <v>#N/A</v>
      </c>
      <c r="AB94" s="302"/>
      <c r="AC94" s="358" t="e">
        <f>VLOOKUP(CONCATENATE(form!C74,".",form!G74),Лист1!$U:$W,3,0)</f>
        <v>#N/A</v>
      </c>
      <c r="AD94" s="358" t="e">
        <f>VLOOKUP(form!I74,Лист1!$Y:$AA,3,0)</f>
        <v>#N/A</v>
      </c>
      <c r="AE94" s="302"/>
      <c r="AF94" s="301"/>
      <c r="AG94" s="301"/>
      <c r="AH94" s="301"/>
      <c r="AJ94" s="300" t="e">
        <f>VLOOKUP(CONCATENATE(form!C74,".",form!H74),Лист1!$DD:$DH,5,0)</f>
        <v>#N/A</v>
      </c>
      <c r="AK94" s="298"/>
      <c r="AL94" s="298"/>
      <c r="AM94" s="298"/>
      <c r="AN94" s="298"/>
      <c r="AO94" s="298"/>
      <c r="AP94" s="300" t="e">
        <f>VLOOKUP(CONCATENATE(form!C74,".",form!H74,".",form!F74),Лист1!$EH:$EL,5,0)</f>
        <v>#N/A</v>
      </c>
      <c r="AQ94" s="302"/>
      <c r="AR94" s="302"/>
      <c r="AS94" s="350" t="e">
        <f t="shared" ref="AS94:AS112" si="51">SUM(AJ94:AQ94)</f>
        <v>#N/A</v>
      </c>
      <c r="AU94" s="616">
        <f t="shared" ref="AU94:AU102" si="52">IF(ISNA(AV94),"0",AV94)</f>
        <v>0</v>
      </c>
      <c r="AV94" s="294">
        <f t="shared" ref="AV94:AV102" si="53">IF(G94="",0,ROUND(AS94*G94,2))</f>
        <v>0</v>
      </c>
      <c r="AX94" s="294"/>
    </row>
    <row r="95" spans="2:50" s="273" customFormat="1" ht="24.9" customHeight="1" x14ac:dyDescent="0.2">
      <c r="B95" s="381">
        <v>3</v>
      </c>
      <c r="C95" s="577" t="str">
        <f t="shared" si="44"/>
        <v/>
      </c>
      <c r="D95" s="578" t="str">
        <f t="shared" si="45"/>
        <v/>
      </c>
      <c r="E95" s="466" t="str">
        <f>IF(OR(J95=0,J95=""),"",VLOOKUP(R95,Лист1!$M:$O,3,0))</f>
        <v/>
      </c>
      <c r="F95" s="334" t="str">
        <f t="shared" si="46"/>
        <v/>
      </c>
      <c r="G95" s="589" t="str">
        <f t="shared" si="47"/>
        <v/>
      </c>
      <c r="H95" s="335" t="str">
        <f t="shared" si="48"/>
        <v/>
      </c>
      <c r="J95" s="329">
        <f>form!R75</f>
        <v>0</v>
      </c>
      <c r="L95" s="275" t="str">
        <f t="shared" si="49"/>
        <v/>
      </c>
      <c r="M95" s="275" t="str">
        <f t="shared" si="50"/>
        <v/>
      </c>
      <c r="N95" s="275" t="str">
        <f t="shared" ref="N95:N102" si="54">IF(G95="","",AS95*(1-$G$1))</f>
        <v/>
      </c>
      <c r="O95" s="275" t="str">
        <f t="shared" ref="O95:O102" si="55">IF(F95="","",G95*F95)</f>
        <v/>
      </c>
      <c r="R95" s="330" t="e">
        <f>VLOOKUP(form!C75,Лист1!$L:$N,2,0)</f>
        <v>#N/A</v>
      </c>
      <c r="S95" s="331" t="e">
        <f>VLOOKUP(form!C75,Лист1!$Q:$S,2,0)</f>
        <v>#N/A</v>
      </c>
      <c r="T95" s="331" t="e">
        <f>VLOOKUP(CONCATENATE(form!C75,".",form!G75),Лист1!$U:$W,2,0)</f>
        <v>#N/A</v>
      </c>
      <c r="U95" s="299" t="e">
        <f>VLOOKUP(form!I75,Лист1!$Y:$AA,2,0)</f>
        <v>#N/A</v>
      </c>
      <c r="V95" s="301"/>
      <c r="W95" s="301"/>
      <c r="X95" s="301"/>
      <c r="Y95" s="301"/>
      <c r="AA95" s="332" t="e">
        <f>VLOOKUP(form!C75,Лист1!$L:$N,3,0)</f>
        <v>#N/A</v>
      </c>
      <c r="AB95" s="302"/>
      <c r="AC95" s="358" t="e">
        <f>VLOOKUP(CONCATENATE(form!C75,".",form!G75),Лист1!$U:$W,3,0)</f>
        <v>#N/A</v>
      </c>
      <c r="AD95" s="358" t="e">
        <f>VLOOKUP(form!I75,Лист1!$Y:$AA,3,0)</f>
        <v>#N/A</v>
      </c>
      <c r="AE95" s="302"/>
      <c r="AF95" s="301"/>
      <c r="AG95" s="301"/>
      <c r="AH95" s="301"/>
      <c r="AJ95" s="300" t="e">
        <f>VLOOKUP(CONCATENATE(form!C75,".",form!H75),Лист1!$DD:$DH,5,0)</f>
        <v>#N/A</v>
      </c>
      <c r="AK95" s="298"/>
      <c r="AL95" s="298"/>
      <c r="AM95" s="298"/>
      <c r="AN95" s="298"/>
      <c r="AO95" s="298"/>
      <c r="AP95" s="300" t="e">
        <f>VLOOKUP(CONCATENATE(form!C75,".",form!H75,".",form!F75),Лист1!$EH:$EL,5,0)</f>
        <v>#N/A</v>
      </c>
      <c r="AQ95" s="302"/>
      <c r="AR95" s="302"/>
      <c r="AS95" s="350" t="e">
        <f t="shared" si="51"/>
        <v>#N/A</v>
      </c>
      <c r="AU95" s="616">
        <f t="shared" si="52"/>
        <v>0</v>
      </c>
      <c r="AV95" s="294">
        <f t="shared" si="53"/>
        <v>0</v>
      </c>
      <c r="AX95" s="294"/>
    </row>
    <row r="96" spans="2:50" s="273" customFormat="1" ht="24.9" customHeight="1" x14ac:dyDescent="0.2">
      <c r="B96" s="381">
        <v>4</v>
      </c>
      <c r="C96" s="577" t="str">
        <f t="shared" si="44"/>
        <v/>
      </c>
      <c r="D96" s="578" t="str">
        <f t="shared" si="45"/>
        <v/>
      </c>
      <c r="E96" s="466" t="str">
        <f>IF(OR(J96=0,J96=""),"",VLOOKUP(R96,Лист1!$M:$O,3,0))</f>
        <v/>
      </c>
      <c r="F96" s="334" t="str">
        <f t="shared" si="46"/>
        <v/>
      </c>
      <c r="G96" s="589" t="str">
        <f t="shared" si="47"/>
        <v/>
      </c>
      <c r="H96" s="335" t="str">
        <f t="shared" si="48"/>
        <v/>
      </c>
      <c r="J96" s="329">
        <f>form!R76</f>
        <v>0</v>
      </c>
      <c r="L96" s="275" t="str">
        <f t="shared" si="49"/>
        <v/>
      </c>
      <c r="M96" s="275" t="str">
        <f t="shared" si="50"/>
        <v/>
      </c>
      <c r="N96" s="275" t="str">
        <f t="shared" si="54"/>
        <v/>
      </c>
      <c r="O96" s="275" t="str">
        <f t="shared" si="55"/>
        <v/>
      </c>
      <c r="R96" s="330" t="e">
        <f>VLOOKUP(form!C76,Лист1!$L:$N,2,0)</f>
        <v>#N/A</v>
      </c>
      <c r="S96" s="331" t="e">
        <f>VLOOKUP(form!C76,Лист1!$Q:$S,2,0)</f>
        <v>#N/A</v>
      </c>
      <c r="T96" s="331" t="e">
        <f>VLOOKUP(CONCATENATE(form!C76,".",form!G76),Лист1!$U:$W,2,0)</f>
        <v>#N/A</v>
      </c>
      <c r="U96" s="299" t="e">
        <f>VLOOKUP(form!I76,Лист1!$Y:$AA,2,0)</f>
        <v>#N/A</v>
      </c>
      <c r="V96" s="301"/>
      <c r="W96" s="301"/>
      <c r="X96" s="301"/>
      <c r="Y96" s="301"/>
      <c r="AA96" s="332" t="e">
        <f>VLOOKUP(form!C76,Лист1!$L:$N,3,0)</f>
        <v>#N/A</v>
      </c>
      <c r="AB96" s="302"/>
      <c r="AC96" s="358" t="e">
        <f>VLOOKUP(CONCATENATE(form!C76,".",form!G76),Лист1!$U:$W,3,0)</f>
        <v>#N/A</v>
      </c>
      <c r="AD96" s="358" t="e">
        <f>VLOOKUP(form!I76,Лист1!$Y:$AA,3,0)</f>
        <v>#N/A</v>
      </c>
      <c r="AE96" s="302"/>
      <c r="AF96" s="301"/>
      <c r="AG96" s="301"/>
      <c r="AH96" s="301"/>
      <c r="AJ96" s="300" t="e">
        <f>VLOOKUP(CONCATENATE(form!C76,".",form!H76),Лист1!$DD:$DH,5,0)</f>
        <v>#N/A</v>
      </c>
      <c r="AK96" s="298"/>
      <c r="AL96" s="298"/>
      <c r="AM96" s="298"/>
      <c r="AN96" s="298"/>
      <c r="AO96" s="298"/>
      <c r="AP96" s="300" t="e">
        <f>VLOOKUP(CONCATENATE(form!C76,".",form!H76,".",form!F76),Лист1!$EH:$EL,5,0)</f>
        <v>#N/A</v>
      </c>
      <c r="AQ96" s="302"/>
      <c r="AR96" s="302"/>
      <c r="AS96" s="350" t="e">
        <f t="shared" si="51"/>
        <v>#N/A</v>
      </c>
      <c r="AU96" s="616">
        <f t="shared" si="52"/>
        <v>0</v>
      </c>
      <c r="AV96" s="294">
        <f t="shared" si="53"/>
        <v>0</v>
      </c>
      <c r="AX96" s="294"/>
    </row>
    <row r="97" spans="2:50" s="273" customFormat="1" ht="24.9" customHeight="1" x14ac:dyDescent="0.2">
      <c r="B97" s="381">
        <v>5</v>
      </c>
      <c r="C97" s="577" t="str">
        <f t="shared" si="44"/>
        <v/>
      </c>
      <c r="D97" s="578" t="str">
        <f t="shared" si="45"/>
        <v/>
      </c>
      <c r="E97" s="466" t="str">
        <f>IF(OR(J97=0,J97=""),"",VLOOKUP(R97,Лист1!$M:$O,3,0))</f>
        <v/>
      </c>
      <c r="F97" s="334" t="str">
        <f t="shared" si="46"/>
        <v/>
      </c>
      <c r="G97" s="589" t="str">
        <f t="shared" si="47"/>
        <v/>
      </c>
      <c r="H97" s="335" t="str">
        <f t="shared" si="48"/>
        <v/>
      </c>
      <c r="J97" s="329">
        <f>form!R77</f>
        <v>0</v>
      </c>
      <c r="L97" s="275" t="str">
        <f t="shared" si="49"/>
        <v/>
      </c>
      <c r="M97" s="275" t="str">
        <f t="shared" si="50"/>
        <v/>
      </c>
      <c r="N97" s="275" t="str">
        <f t="shared" si="54"/>
        <v/>
      </c>
      <c r="O97" s="275" t="str">
        <f t="shared" si="55"/>
        <v/>
      </c>
      <c r="R97" s="330" t="e">
        <f>VLOOKUP(form!C77,Лист1!$L:$N,2,0)</f>
        <v>#N/A</v>
      </c>
      <c r="S97" s="331" t="e">
        <f>VLOOKUP(form!C77,Лист1!$Q:$S,2,0)</f>
        <v>#N/A</v>
      </c>
      <c r="T97" s="331" t="e">
        <f>VLOOKUP(CONCATENATE(form!C77,".",form!G77),Лист1!$U:$W,2,0)</f>
        <v>#N/A</v>
      </c>
      <c r="U97" s="299" t="e">
        <f>VLOOKUP(form!I77,Лист1!$Y:$AA,2,0)</f>
        <v>#N/A</v>
      </c>
      <c r="V97" s="301"/>
      <c r="W97" s="301"/>
      <c r="X97" s="301"/>
      <c r="Y97" s="301"/>
      <c r="AA97" s="332" t="e">
        <f>VLOOKUP(form!C77,Лист1!$L:$N,3,0)</f>
        <v>#N/A</v>
      </c>
      <c r="AB97" s="302"/>
      <c r="AC97" s="358" t="e">
        <f>VLOOKUP(CONCATENATE(form!C77,".",form!G77),Лист1!$U:$W,3,0)</f>
        <v>#N/A</v>
      </c>
      <c r="AD97" s="358" t="e">
        <f>VLOOKUP(form!I77,Лист1!$Y:$AA,3,0)</f>
        <v>#N/A</v>
      </c>
      <c r="AE97" s="302"/>
      <c r="AF97" s="301"/>
      <c r="AG97" s="301"/>
      <c r="AH97" s="301"/>
      <c r="AJ97" s="300" t="e">
        <f>VLOOKUP(CONCATENATE(form!C77,".",form!H77),Лист1!$DD:$DH,5,0)</f>
        <v>#N/A</v>
      </c>
      <c r="AK97" s="298"/>
      <c r="AL97" s="298"/>
      <c r="AM97" s="298"/>
      <c r="AN97" s="298"/>
      <c r="AO97" s="298"/>
      <c r="AP97" s="300" t="e">
        <f>VLOOKUP(CONCATENATE(form!C77,".",form!H77,".",form!F77),Лист1!$EH:$EL,5,0)</f>
        <v>#N/A</v>
      </c>
      <c r="AQ97" s="302"/>
      <c r="AR97" s="302"/>
      <c r="AS97" s="350" t="e">
        <f t="shared" si="51"/>
        <v>#N/A</v>
      </c>
      <c r="AU97" s="616">
        <f t="shared" si="52"/>
        <v>0</v>
      </c>
      <c r="AV97" s="294">
        <f t="shared" si="53"/>
        <v>0</v>
      </c>
      <c r="AX97" s="294"/>
    </row>
    <row r="98" spans="2:50" s="273" customFormat="1" ht="24.9" customHeight="1" x14ac:dyDescent="0.2">
      <c r="B98" s="381">
        <v>6</v>
      </c>
      <c r="C98" s="577" t="str">
        <f t="shared" si="44"/>
        <v/>
      </c>
      <c r="D98" s="578" t="str">
        <f t="shared" si="45"/>
        <v/>
      </c>
      <c r="E98" s="466" t="str">
        <f>IF(OR(J98=0,J98=""),"",VLOOKUP(R98,Лист1!$M:$O,3,0))</f>
        <v/>
      </c>
      <c r="F98" s="334" t="str">
        <f t="shared" si="46"/>
        <v/>
      </c>
      <c r="G98" s="589" t="str">
        <f t="shared" si="47"/>
        <v/>
      </c>
      <c r="H98" s="335" t="str">
        <f t="shared" si="48"/>
        <v/>
      </c>
      <c r="J98" s="329">
        <f>form!R78</f>
        <v>0</v>
      </c>
      <c r="L98" s="275" t="str">
        <f t="shared" si="49"/>
        <v/>
      </c>
      <c r="M98" s="275" t="str">
        <f t="shared" si="50"/>
        <v/>
      </c>
      <c r="N98" s="275" t="str">
        <f t="shared" si="54"/>
        <v/>
      </c>
      <c r="O98" s="275" t="str">
        <f t="shared" si="55"/>
        <v/>
      </c>
      <c r="R98" s="330" t="e">
        <f>VLOOKUP(form!C78,Лист1!$L:$N,2,0)</f>
        <v>#N/A</v>
      </c>
      <c r="S98" s="331" t="e">
        <f>VLOOKUP(form!C78,Лист1!$Q:$S,2,0)</f>
        <v>#N/A</v>
      </c>
      <c r="T98" s="331" t="e">
        <f>VLOOKUP(CONCATENATE(form!C78,".",form!G78),Лист1!$U:$W,2,0)</f>
        <v>#N/A</v>
      </c>
      <c r="U98" s="299" t="e">
        <f>VLOOKUP(form!I78,Лист1!$Y:$AA,2,0)</f>
        <v>#N/A</v>
      </c>
      <c r="V98" s="301"/>
      <c r="W98" s="301"/>
      <c r="X98" s="301"/>
      <c r="Y98" s="301"/>
      <c r="AA98" s="332" t="e">
        <f>VLOOKUP(form!C78,Лист1!$L:$N,3,0)</f>
        <v>#N/A</v>
      </c>
      <c r="AB98" s="302"/>
      <c r="AC98" s="358" t="e">
        <f>VLOOKUP(CONCATENATE(form!C78,".",form!G78),Лист1!$U:$W,3,0)</f>
        <v>#N/A</v>
      </c>
      <c r="AD98" s="358" t="e">
        <f>VLOOKUP(form!I78,Лист1!$Y:$AA,3,0)</f>
        <v>#N/A</v>
      </c>
      <c r="AE98" s="302"/>
      <c r="AF98" s="301"/>
      <c r="AG98" s="301"/>
      <c r="AH98" s="301"/>
      <c r="AJ98" s="300" t="e">
        <f>VLOOKUP(CONCATENATE(form!C78,".",form!H78),Лист1!$DD:$DH,5,0)</f>
        <v>#N/A</v>
      </c>
      <c r="AK98" s="298"/>
      <c r="AL98" s="298"/>
      <c r="AM98" s="298"/>
      <c r="AN98" s="298"/>
      <c r="AO98" s="298"/>
      <c r="AP98" s="300" t="e">
        <f>VLOOKUP(CONCATENATE(form!C78,".",form!H78,".",form!F78),Лист1!$EH:$EL,5,0)</f>
        <v>#N/A</v>
      </c>
      <c r="AQ98" s="302"/>
      <c r="AR98" s="302"/>
      <c r="AS98" s="350" t="e">
        <f t="shared" si="51"/>
        <v>#N/A</v>
      </c>
      <c r="AU98" s="616">
        <f t="shared" si="52"/>
        <v>0</v>
      </c>
      <c r="AV98" s="294">
        <f t="shared" si="53"/>
        <v>0</v>
      </c>
      <c r="AX98" s="294"/>
    </row>
    <row r="99" spans="2:50" s="273" customFormat="1" ht="24.9" customHeight="1" x14ac:dyDescent="0.2">
      <c r="B99" s="381">
        <v>7</v>
      </c>
      <c r="C99" s="577" t="str">
        <f t="shared" si="44"/>
        <v/>
      </c>
      <c r="D99" s="578" t="str">
        <f t="shared" si="45"/>
        <v/>
      </c>
      <c r="E99" s="466" t="str">
        <f>IF(OR(J99=0,J99=""),"",VLOOKUP(R99,Лист1!$M:$O,3,0))</f>
        <v/>
      </c>
      <c r="F99" s="334" t="str">
        <f t="shared" si="46"/>
        <v/>
      </c>
      <c r="G99" s="589" t="str">
        <f t="shared" si="47"/>
        <v/>
      </c>
      <c r="H99" s="335" t="str">
        <f t="shared" si="48"/>
        <v/>
      </c>
      <c r="J99" s="329">
        <f>form!R79</f>
        <v>0</v>
      </c>
      <c r="L99" s="275" t="str">
        <f t="shared" si="49"/>
        <v/>
      </c>
      <c r="M99" s="275" t="str">
        <f t="shared" si="50"/>
        <v/>
      </c>
      <c r="N99" s="275" t="str">
        <f t="shared" si="54"/>
        <v/>
      </c>
      <c r="O99" s="275" t="str">
        <f t="shared" si="55"/>
        <v/>
      </c>
      <c r="R99" s="330" t="e">
        <f>VLOOKUP(form!C79,Лист1!$L:$N,2,0)</f>
        <v>#N/A</v>
      </c>
      <c r="S99" s="331" t="e">
        <f>VLOOKUP(form!C79,Лист1!$Q:$S,2,0)</f>
        <v>#N/A</v>
      </c>
      <c r="T99" s="331" t="e">
        <f>VLOOKUP(CONCATENATE(form!C79,".",form!G79),Лист1!$U:$W,2,0)</f>
        <v>#N/A</v>
      </c>
      <c r="U99" s="299" t="e">
        <f>VLOOKUP(form!I79,Лист1!$Y:$AA,2,0)</f>
        <v>#N/A</v>
      </c>
      <c r="V99" s="301"/>
      <c r="W99" s="301"/>
      <c r="X99" s="301"/>
      <c r="Y99" s="301"/>
      <c r="AA99" s="332" t="e">
        <f>VLOOKUP(form!C79,Лист1!$L:$N,3,0)</f>
        <v>#N/A</v>
      </c>
      <c r="AB99" s="302"/>
      <c r="AC99" s="358" t="e">
        <f>VLOOKUP(CONCATENATE(form!C79,".",form!G79),Лист1!$U:$W,3,0)</f>
        <v>#N/A</v>
      </c>
      <c r="AD99" s="358" t="e">
        <f>VLOOKUP(form!I79,Лист1!$Y:$AA,3,0)</f>
        <v>#N/A</v>
      </c>
      <c r="AE99" s="302"/>
      <c r="AF99" s="301"/>
      <c r="AG99" s="301"/>
      <c r="AH99" s="301"/>
      <c r="AJ99" s="300" t="e">
        <f>VLOOKUP(CONCATENATE(form!C79,".",form!H79),Лист1!$DD:$DH,5,0)</f>
        <v>#N/A</v>
      </c>
      <c r="AK99" s="298"/>
      <c r="AL99" s="298"/>
      <c r="AM99" s="298"/>
      <c r="AN99" s="298"/>
      <c r="AO99" s="298"/>
      <c r="AP99" s="300" t="e">
        <f>VLOOKUP(CONCATENATE(form!C79,".",form!H79,".",form!F79),Лист1!$EH:$EL,5,0)</f>
        <v>#N/A</v>
      </c>
      <c r="AQ99" s="302"/>
      <c r="AR99" s="302"/>
      <c r="AS99" s="350" t="e">
        <f t="shared" si="51"/>
        <v>#N/A</v>
      </c>
      <c r="AU99" s="616">
        <f t="shared" si="52"/>
        <v>0</v>
      </c>
      <c r="AV99" s="294">
        <f t="shared" si="53"/>
        <v>0</v>
      </c>
      <c r="AX99" s="294"/>
    </row>
    <row r="100" spans="2:50" s="273" customFormat="1" ht="24.9" customHeight="1" x14ac:dyDescent="0.2">
      <c r="B100" s="381">
        <v>8</v>
      </c>
      <c r="C100" s="577" t="str">
        <f t="shared" si="44"/>
        <v/>
      </c>
      <c r="D100" s="578" t="str">
        <f t="shared" si="45"/>
        <v/>
      </c>
      <c r="E100" s="466" t="str">
        <f>IF(OR(J100=0,J100=""),"",VLOOKUP(R100,Лист1!$M:$O,3,0))</f>
        <v/>
      </c>
      <c r="F100" s="334" t="str">
        <f t="shared" si="46"/>
        <v/>
      </c>
      <c r="G100" s="589" t="str">
        <f t="shared" si="47"/>
        <v/>
      </c>
      <c r="H100" s="335" t="str">
        <f t="shared" si="48"/>
        <v/>
      </c>
      <c r="J100" s="329">
        <f>form!R80</f>
        <v>0</v>
      </c>
      <c r="L100" s="275" t="str">
        <f t="shared" si="49"/>
        <v/>
      </c>
      <c r="M100" s="275" t="str">
        <f t="shared" si="50"/>
        <v/>
      </c>
      <c r="N100" s="275" t="str">
        <f t="shared" si="54"/>
        <v/>
      </c>
      <c r="O100" s="275" t="str">
        <f t="shared" si="55"/>
        <v/>
      </c>
      <c r="R100" s="330" t="e">
        <f>VLOOKUP(form!C80,Лист1!$L:$N,2,0)</f>
        <v>#N/A</v>
      </c>
      <c r="S100" s="331" t="e">
        <f>VLOOKUP(form!C80,Лист1!$Q:$S,2,0)</f>
        <v>#N/A</v>
      </c>
      <c r="T100" s="331" t="e">
        <f>VLOOKUP(CONCATENATE(form!C80,".",form!G80),Лист1!$U:$W,2,0)</f>
        <v>#N/A</v>
      </c>
      <c r="U100" s="299" t="e">
        <f>VLOOKUP(form!I80,Лист1!$Y:$AA,2,0)</f>
        <v>#N/A</v>
      </c>
      <c r="V100" s="301"/>
      <c r="W100" s="301"/>
      <c r="X100" s="301"/>
      <c r="Y100" s="301"/>
      <c r="AA100" s="332" t="e">
        <f>VLOOKUP(form!C80,Лист1!$L:$N,3,0)</f>
        <v>#N/A</v>
      </c>
      <c r="AB100" s="302"/>
      <c r="AC100" s="358" t="e">
        <f>VLOOKUP(CONCATENATE(form!C80,".",form!G80),Лист1!$U:$W,3,0)</f>
        <v>#N/A</v>
      </c>
      <c r="AD100" s="358" t="e">
        <f>VLOOKUP(form!I80,Лист1!$Y:$AA,3,0)</f>
        <v>#N/A</v>
      </c>
      <c r="AE100" s="302"/>
      <c r="AF100" s="301"/>
      <c r="AG100" s="301"/>
      <c r="AH100" s="301"/>
      <c r="AJ100" s="300" t="e">
        <f>VLOOKUP(CONCATENATE(form!C80,".",form!H80),Лист1!$DD:$DH,5,0)</f>
        <v>#N/A</v>
      </c>
      <c r="AK100" s="298"/>
      <c r="AL100" s="298"/>
      <c r="AM100" s="298"/>
      <c r="AN100" s="298"/>
      <c r="AO100" s="298"/>
      <c r="AP100" s="300" t="e">
        <f>VLOOKUP(CONCATENATE(form!C80,".",form!H80,".",form!F80),Лист1!$EH:$EL,5,0)</f>
        <v>#N/A</v>
      </c>
      <c r="AQ100" s="302"/>
      <c r="AR100" s="302"/>
      <c r="AS100" s="350" t="e">
        <f t="shared" si="51"/>
        <v>#N/A</v>
      </c>
      <c r="AU100" s="616">
        <f t="shared" si="52"/>
        <v>0</v>
      </c>
      <c r="AV100" s="294">
        <f t="shared" si="53"/>
        <v>0</v>
      </c>
      <c r="AX100" s="294"/>
    </row>
    <row r="101" spans="2:50" s="273" customFormat="1" ht="24.9" customHeight="1" x14ac:dyDescent="0.2">
      <c r="B101" s="381">
        <v>9</v>
      </c>
      <c r="C101" s="577" t="str">
        <f t="shared" si="44"/>
        <v/>
      </c>
      <c r="D101" s="578" t="str">
        <f t="shared" si="45"/>
        <v/>
      </c>
      <c r="E101" s="466" t="str">
        <f>IF(OR(J101=0,J101=""),"",VLOOKUP(R101,Лист1!$M:$O,3,0))</f>
        <v/>
      </c>
      <c r="F101" s="334" t="str">
        <f t="shared" si="46"/>
        <v/>
      </c>
      <c r="G101" s="589" t="str">
        <f t="shared" si="47"/>
        <v/>
      </c>
      <c r="H101" s="335" t="str">
        <f t="shared" si="48"/>
        <v/>
      </c>
      <c r="J101" s="329">
        <f>form!R81</f>
        <v>0</v>
      </c>
      <c r="L101" s="275" t="str">
        <f t="shared" si="49"/>
        <v/>
      </c>
      <c r="M101" s="275" t="str">
        <f t="shared" si="50"/>
        <v/>
      </c>
      <c r="N101" s="275" t="str">
        <f t="shared" si="54"/>
        <v/>
      </c>
      <c r="O101" s="275" t="str">
        <f t="shared" si="55"/>
        <v/>
      </c>
      <c r="R101" s="330" t="e">
        <f>VLOOKUP(form!C81,Лист1!$L:$N,2,0)</f>
        <v>#N/A</v>
      </c>
      <c r="S101" s="331" t="e">
        <f>VLOOKUP(form!C81,Лист1!$Q:$S,2,0)</f>
        <v>#N/A</v>
      </c>
      <c r="T101" s="331" t="e">
        <f>VLOOKUP(CONCATENATE(form!C81,".",form!G81),Лист1!$U:$W,2,0)</f>
        <v>#N/A</v>
      </c>
      <c r="U101" s="299" t="e">
        <f>VLOOKUP(form!I81,Лист1!$Y:$AA,2,0)</f>
        <v>#N/A</v>
      </c>
      <c r="V101" s="301"/>
      <c r="W101" s="301"/>
      <c r="X101" s="301"/>
      <c r="Y101" s="301"/>
      <c r="AA101" s="332" t="e">
        <f>VLOOKUP(form!C81,Лист1!$L:$N,3,0)</f>
        <v>#N/A</v>
      </c>
      <c r="AB101" s="302"/>
      <c r="AC101" s="358" t="e">
        <f>VLOOKUP(CONCATENATE(form!C81,".",form!G81),Лист1!$U:$W,3,0)</f>
        <v>#N/A</v>
      </c>
      <c r="AD101" s="358" t="e">
        <f>VLOOKUP(form!I81,Лист1!$Y:$AA,3,0)</f>
        <v>#N/A</v>
      </c>
      <c r="AE101" s="302"/>
      <c r="AF101" s="301"/>
      <c r="AG101" s="301"/>
      <c r="AH101" s="301"/>
      <c r="AJ101" s="300" t="e">
        <f>VLOOKUP(CONCATENATE(form!C81,".",form!H81),Лист1!$DD:$DH,5,0)</f>
        <v>#N/A</v>
      </c>
      <c r="AK101" s="298"/>
      <c r="AL101" s="298"/>
      <c r="AM101" s="298"/>
      <c r="AN101" s="298"/>
      <c r="AO101" s="298"/>
      <c r="AP101" s="300" t="e">
        <f>VLOOKUP(CONCATENATE(form!C81,".",form!H81,".",form!F81),Лист1!$EH:$EL,5,0)</f>
        <v>#N/A</v>
      </c>
      <c r="AQ101" s="302"/>
      <c r="AR101" s="302"/>
      <c r="AS101" s="350" t="e">
        <f t="shared" si="51"/>
        <v>#N/A</v>
      </c>
      <c r="AU101" s="616">
        <f t="shared" si="52"/>
        <v>0</v>
      </c>
      <c r="AV101" s="294">
        <f t="shared" si="53"/>
        <v>0</v>
      </c>
      <c r="AX101" s="294"/>
    </row>
    <row r="102" spans="2:50" s="273" customFormat="1" ht="24.9" customHeight="1" x14ac:dyDescent="0.2">
      <c r="B102" s="382">
        <v>10</v>
      </c>
      <c r="C102" s="581" t="str">
        <f t="shared" si="44"/>
        <v/>
      </c>
      <c r="D102" s="582" t="str">
        <f t="shared" si="45"/>
        <v/>
      </c>
      <c r="E102" s="468" t="str">
        <f>IF(OR(J102=0,J102=""),"",VLOOKUP(R102,Лист1!$M:$O,3,0))</f>
        <v/>
      </c>
      <c r="F102" s="360" t="str">
        <f t="shared" si="46"/>
        <v/>
      </c>
      <c r="G102" s="591" t="str">
        <f t="shared" si="47"/>
        <v/>
      </c>
      <c r="H102" s="361" t="str">
        <f t="shared" si="48"/>
        <v/>
      </c>
      <c r="J102" s="329">
        <f>form!R82</f>
        <v>0</v>
      </c>
      <c r="L102" s="336" t="str">
        <f t="shared" si="49"/>
        <v/>
      </c>
      <c r="M102" s="336" t="str">
        <f t="shared" si="50"/>
        <v/>
      </c>
      <c r="N102" s="336" t="str">
        <f t="shared" si="54"/>
        <v/>
      </c>
      <c r="O102" s="336" t="str">
        <f t="shared" si="55"/>
        <v/>
      </c>
      <c r="P102" s="276"/>
      <c r="Q102" s="276"/>
      <c r="R102" s="337" t="e">
        <f>VLOOKUP(form!C82,Лист1!$L:$N,2,0)</f>
        <v>#N/A</v>
      </c>
      <c r="S102" s="338" t="e">
        <f>VLOOKUP(form!C82,Лист1!$Q:$S,2,0)</f>
        <v>#N/A</v>
      </c>
      <c r="T102" s="338" t="e">
        <f>VLOOKUP(CONCATENATE(form!C82,".",form!G82),Лист1!$U:$W,2,0)</f>
        <v>#N/A</v>
      </c>
      <c r="U102" s="318" t="e">
        <f>VLOOKUP(form!I82,Лист1!$Y:$AA,2,0)</f>
        <v>#N/A</v>
      </c>
      <c r="V102" s="319"/>
      <c r="W102" s="319"/>
      <c r="X102" s="319"/>
      <c r="Y102" s="319"/>
      <c r="Z102" s="276"/>
      <c r="AA102" s="320" t="e">
        <f>VLOOKUP(form!C82,Лист1!$L:$N,3,0)</f>
        <v>#N/A</v>
      </c>
      <c r="AB102" s="322"/>
      <c r="AC102" s="362" t="e">
        <f>VLOOKUP(CONCATENATE(form!C82,".",form!G82),Лист1!$U:$W,3,0)</f>
        <v>#N/A</v>
      </c>
      <c r="AD102" s="362" t="e">
        <f>VLOOKUP(form!I82,Лист1!$Y:$AA,3,0)</f>
        <v>#N/A</v>
      </c>
      <c r="AE102" s="322"/>
      <c r="AF102" s="319"/>
      <c r="AG102" s="319"/>
      <c r="AH102" s="319"/>
      <c r="AI102" s="276"/>
      <c r="AJ102" s="321" t="e">
        <f>VLOOKUP(CONCATENATE(form!C82,".",form!H82),Лист1!$DD:$DH,5,0)</f>
        <v>#N/A</v>
      </c>
      <c r="AK102" s="319"/>
      <c r="AL102" s="319"/>
      <c r="AM102" s="319"/>
      <c r="AN102" s="319"/>
      <c r="AO102" s="319"/>
      <c r="AP102" s="321" t="e">
        <f>VLOOKUP(CONCATENATE(form!C82,".",form!H82,".",form!F82),Лист1!$EH:$EL,5,0)</f>
        <v>#N/A</v>
      </c>
      <c r="AQ102" s="322"/>
      <c r="AR102" s="322"/>
      <c r="AS102" s="323" t="e">
        <f t="shared" si="51"/>
        <v>#N/A</v>
      </c>
      <c r="AT102" s="276"/>
      <c r="AU102" s="618">
        <f t="shared" si="52"/>
        <v>0</v>
      </c>
      <c r="AV102" s="324">
        <f t="shared" si="53"/>
        <v>0</v>
      </c>
      <c r="AX102" s="294"/>
    </row>
    <row r="103" spans="2:50" s="273" customFormat="1" ht="24.9" customHeight="1" x14ac:dyDescent="0.2">
      <c r="B103" s="377">
        <v>1</v>
      </c>
      <c r="C103" s="566" t="str">
        <f>IF(ISNA(L103),"",L103)</f>
        <v/>
      </c>
      <c r="D103" s="583" t="str">
        <f>IF(ISNA(M103),"",M103)</f>
        <v/>
      </c>
      <c r="E103" s="462" t="str">
        <f>IF(OR(J103=0,J103=""),"",VLOOKUP(R103,Лист1!$M:$O,3,0))</f>
        <v/>
      </c>
      <c r="F103" s="303" t="str">
        <f>IF(ISNA(N103),"",N103)</f>
        <v/>
      </c>
      <c r="G103" s="587" t="str">
        <f>IF(J103=0,"",J103)</f>
        <v/>
      </c>
      <c r="H103" s="304" t="str">
        <f>IF(ISNA(O103),"",O103)</f>
        <v/>
      </c>
      <c r="J103" s="329">
        <f>form!R84</f>
        <v>0</v>
      </c>
      <c r="L103" s="275" t="str">
        <f>IF(G103="","",R103)</f>
        <v/>
      </c>
      <c r="M103" s="275" t="str">
        <f>IF(G103="","",AA103)</f>
        <v/>
      </c>
      <c r="N103" s="275" t="str">
        <f>IF(G103="","",AS103*(1-$G$1))</f>
        <v/>
      </c>
      <c r="O103" s="275" t="str">
        <f>IF(F103="","",G103*F103)</f>
        <v/>
      </c>
      <c r="R103" s="330" t="e">
        <f>VLOOKUP(form!C84,Лист1!$L:$N,2,0)</f>
        <v>#N/A</v>
      </c>
      <c r="S103" s="302"/>
      <c r="T103" s="302"/>
      <c r="U103" s="302"/>
      <c r="V103" s="301"/>
      <c r="W103" s="301"/>
      <c r="X103" s="301"/>
      <c r="Y103" s="301"/>
      <c r="AA103" s="332" t="e">
        <f>VLOOKUP(form!C84,Лист1!$L:$N,3,0)</f>
        <v>#N/A</v>
      </c>
      <c r="AB103" s="302"/>
      <c r="AC103" s="302"/>
      <c r="AD103" s="302"/>
      <c r="AE103" s="302"/>
      <c r="AF103" s="301"/>
      <c r="AG103" s="301"/>
      <c r="AH103" s="301"/>
      <c r="AJ103" s="290" t="e">
        <f>VLOOKUP(form!C84,Лист1!$DD:$DH,5,0)</f>
        <v>#N/A</v>
      </c>
      <c r="AK103" s="301"/>
      <c r="AL103" s="301"/>
      <c r="AM103" s="301"/>
      <c r="AN103" s="301"/>
      <c r="AO103" s="301"/>
      <c r="AP103" s="301"/>
      <c r="AQ103" s="301"/>
      <c r="AR103" s="301"/>
      <c r="AS103" s="350" t="e">
        <f t="shared" si="51"/>
        <v>#N/A</v>
      </c>
      <c r="AU103" s="616">
        <f>IF(ISNA(AV103),"0",AV103)</f>
        <v>0</v>
      </c>
      <c r="AV103" s="294">
        <f>IF(G103="",0,ROUND(AS103*G103,2))</f>
        <v>0</v>
      </c>
      <c r="AX103" s="294"/>
    </row>
    <row r="104" spans="2:50" s="273" customFormat="1" ht="24.9" customHeight="1" x14ac:dyDescent="0.2">
      <c r="B104" s="381">
        <v>2</v>
      </c>
      <c r="C104" s="566" t="str">
        <f t="shared" ref="C104:C112" si="56">IF(ISNA(L104),"",L104)</f>
        <v/>
      </c>
      <c r="D104" s="583" t="str">
        <f t="shared" ref="D104:D112" si="57">IF(ISNA(M104),"",M104)</f>
        <v/>
      </c>
      <c r="E104" s="462" t="str">
        <f>IF(OR(J104=0,J104=""),"",VLOOKUP(R104,Лист1!$M:$O,3,0))</f>
        <v/>
      </c>
      <c r="F104" s="303" t="str">
        <f t="shared" ref="F104:F112" si="58">IF(ISNA(N104),"",N104)</f>
        <v/>
      </c>
      <c r="G104" s="587" t="str">
        <f t="shared" ref="G104:G112" si="59">IF(J104=0,"",J104)</f>
        <v/>
      </c>
      <c r="H104" s="304" t="str">
        <f t="shared" ref="H104:H112" si="60">IF(ISNA(O104),"",O104)</f>
        <v/>
      </c>
      <c r="J104" s="329">
        <f>form!R85</f>
        <v>0</v>
      </c>
      <c r="L104" s="275" t="str">
        <f t="shared" ref="L104:L112" si="61">IF(G104="","",R104)</f>
        <v/>
      </c>
      <c r="M104" s="275" t="str">
        <f t="shared" ref="M104:M112" si="62">IF(G104="","",AA104)</f>
        <v/>
      </c>
      <c r="N104" s="275" t="str">
        <f t="shared" ref="N104:N112" si="63">IF(G104="","",AS104*(1-$G$1))</f>
        <v/>
      </c>
      <c r="O104" s="275" t="str">
        <f t="shared" ref="O104:O112" si="64">IF(F104="","",G104*F104)</f>
        <v/>
      </c>
      <c r="R104" s="330" t="e">
        <f>VLOOKUP(form!C85,Лист1!$L:$N,2,0)</f>
        <v>#N/A</v>
      </c>
      <c r="S104" s="302"/>
      <c r="T104" s="302"/>
      <c r="U104" s="302"/>
      <c r="V104" s="301"/>
      <c r="W104" s="301"/>
      <c r="X104" s="301"/>
      <c r="Y104" s="301"/>
      <c r="AA104" s="332" t="e">
        <f>VLOOKUP(form!C85,Лист1!$L:$N,3,0)</f>
        <v>#N/A</v>
      </c>
      <c r="AB104" s="302"/>
      <c r="AC104" s="302"/>
      <c r="AD104" s="302"/>
      <c r="AE104" s="302"/>
      <c r="AF104" s="301"/>
      <c r="AG104" s="301"/>
      <c r="AH104" s="301"/>
      <c r="AJ104" s="290" t="e">
        <f>VLOOKUP(form!C85,Лист1!$DD:$DH,5,0)</f>
        <v>#N/A</v>
      </c>
      <c r="AK104" s="301"/>
      <c r="AL104" s="301"/>
      <c r="AM104" s="301"/>
      <c r="AN104" s="301"/>
      <c r="AO104" s="301"/>
      <c r="AP104" s="301"/>
      <c r="AQ104" s="301"/>
      <c r="AR104" s="301"/>
      <c r="AS104" s="350" t="e">
        <f t="shared" si="51"/>
        <v>#N/A</v>
      </c>
      <c r="AU104" s="616">
        <f t="shared" ref="AU104:AU112" si="65">IF(ISNA(AV104),"0",AV104)</f>
        <v>0</v>
      </c>
      <c r="AV104" s="294">
        <f t="shared" ref="AV104:AV112" si="66">IF(G104="",0,ROUND(AS104*G104,2))</f>
        <v>0</v>
      </c>
      <c r="AX104" s="294"/>
    </row>
    <row r="105" spans="2:50" s="273" customFormat="1" ht="24.9" customHeight="1" x14ac:dyDescent="0.2">
      <c r="B105" s="381">
        <v>3</v>
      </c>
      <c r="C105" s="566" t="str">
        <f t="shared" si="56"/>
        <v/>
      </c>
      <c r="D105" s="583" t="str">
        <f t="shared" si="57"/>
        <v/>
      </c>
      <c r="E105" s="462" t="str">
        <f>IF(OR(J105=0,J105=""),"",VLOOKUP(R105,Лист1!$M:$O,3,0))</f>
        <v/>
      </c>
      <c r="F105" s="303" t="str">
        <f t="shared" si="58"/>
        <v/>
      </c>
      <c r="G105" s="587" t="str">
        <f t="shared" si="59"/>
        <v/>
      </c>
      <c r="H105" s="304" t="str">
        <f t="shared" si="60"/>
        <v/>
      </c>
      <c r="J105" s="329">
        <f>form!R86</f>
        <v>0</v>
      </c>
      <c r="L105" s="275" t="str">
        <f t="shared" si="61"/>
        <v/>
      </c>
      <c r="M105" s="275" t="str">
        <f t="shared" si="62"/>
        <v/>
      </c>
      <c r="N105" s="275" t="str">
        <f t="shared" si="63"/>
        <v/>
      </c>
      <c r="O105" s="275" t="str">
        <f t="shared" si="64"/>
        <v/>
      </c>
      <c r="R105" s="330" t="e">
        <f>VLOOKUP(form!C86,Лист1!$L:$N,2,0)</f>
        <v>#N/A</v>
      </c>
      <c r="S105" s="302"/>
      <c r="T105" s="302"/>
      <c r="U105" s="302"/>
      <c r="V105" s="301"/>
      <c r="W105" s="301"/>
      <c r="X105" s="301"/>
      <c r="Y105" s="301"/>
      <c r="AA105" s="332" t="e">
        <f>VLOOKUP(form!C86,Лист1!$L:$N,3,0)</f>
        <v>#N/A</v>
      </c>
      <c r="AB105" s="302"/>
      <c r="AC105" s="302"/>
      <c r="AD105" s="302"/>
      <c r="AE105" s="302"/>
      <c r="AF105" s="301"/>
      <c r="AG105" s="301"/>
      <c r="AH105" s="301"/>
      <c r="AJ105" s="290" t="e">
        <f>VLOOKUP(form!C86,Лист1!$DD:$DH,5,0)</f>
        <v>#N/A</v>
      </c>
      <c r="AK105" s="301"/>
      <c r="AL105" s="301"/>
      <c r="AM105" s="301"/>
      <c r="AN105" s="301"/>
      <c r="AO105" s="301"/>
      <c r="AP105" s="301"/>
      <c r="AQ105" s="301"/>
      <c r="AR105" s="301"/>
      <c r="AS105" s="350" t="e">
        <f t="shared" si="51"/>
        <v>#N/A</v>
      </c>
      <c r="AU105" s="616">
        <f t="shared" si="65"/>
        <v>0</v>
      </c>
      <c r="AV105" s="294">
        <f t="shared" si="66"/>
        <v>0</v>
      </c>
      <c r="AX105" s="294"/>
    </row>
    <row r="106" spans="2:50" s="273" customFormat="1" ht="24.9" customHeight="1" x14ac:dyDescent="0.2">
      <c r="B106" s="381">
        <v>4</v>
      </c>
      <c r="C106" s="566" t="str">
        <f t="shared" si="56"/>
        <v/>
      </c>
      <c r="D106" s="583" t="str">
        <f t="shared" si="57"/>
        <v/>
      </c>
      <c r="E106" s="462" t="str">
        <f>IF(OR(J106=0,J106=""),"",VLOOKUP(R106,Лист1!$M:$O,3,0))</f>
        <v/>
      </c>
      <c r="F106" s="303" t="str">
        <f t="shared" si="58"/>
        <v/>
      </c>
      <c r="G106" s="587" t="str">
        <f t="shared" si="59"/>
        <v/>
      </c>
      <c r="H106" s="304" t="str">
        <f t="shared" si="60"/>
        <v/>
      </c>
      <c r="J106" s="329">
        <f>form!R87</f>
        <v>0</v>
      </c>
      <c r="L106" s="275" t="str">
        <f t="shared" si="61"/>
        <v/>
      </c>
      <c r="M106" s="275" t="str">
        <f t="shared" si="62"/>
        <v/>
      </c>
      <c r="N106" s="275" t="str">
        <f t="shared" si="63"/>
        <v/>
      </c>
      <c r="O106" s="275" t="str">
        <f t="shared" si="64"/>
        <v/>
      </c>
      <c r="R106" s="330" t="e">
        <f>VLOOKUP(form!C87,Лист1!$L:$N,2,0)</f>
        <v>#N/A</v>
      </c>
      <c r="S106" s="302"/>
      <c r="T106" s="302"/>
      <c r="U106" s="302"/>
      <c r="V106" s="301"/>
      <c r="W106" s="301"/>
      <c r="X106" s="301"/>
      <c r="Y106" s="301"/>
      <c r="AA106" s="332" t="e">
        <f>VLOOKUP(form!C87,Лист1!$L:$N,3,0)</f>
        <v>#N/A</v>
      </c>
      <c r="AB106" s="302"/>
      <c r="AC106" s="302"/>
      <c r="AD106" s="302"/>
      <c r="AE106" s="302"/>
      <c r="AF106" s="301"/>
      <c r="AG106" s="301"/>
      <c r="AH106" s="301"/>
      <c r="AJ106" s="290" t="e">
        <f>VLOOKUP(form!C87,Лист1!$DD:$DH,5,0)</f>
        <v>#N/A</v>
      </c>
      <c r="AK106" s="301"/>
      <c r="AL106" s="301"/>
      <c r="AM106" s="301"/>
      <c r="AN106" s="301"/>
      <c r="AO106" s="301"/>
      <c r="AP106" s="301"/>
      <c r="AQ106" s="301"/>
      <c r="AR106" s="301"/>
      <c r="AS106" s="350" t="e">
        <f t="shared" si="51"/>
        <v>#N/A</v>
      </c>
      <c r="AU106" s="616">
        <f t="shared" si="65"/>
        <v>0</v>
      </c>
      <c r="AV106" s="294">
        <f t="shared" si="66"/>
        <v>0</v>
      </c>
      <c r="AX106" s="294"/>
    </row>
    <row r="107" spans="2:50" s="273" customFormat="1" ht="24.9" customHeight="1" x14ac:dyDescent="0.2">
      <c r="B107" s="381">
        <v>5</v>
      </c>
      <c r="C107" s="566" t="str">
        <f t="shared" si="56"/>
        <v/>
      </c>
      <c r="D107" s="583" t="str">
        <f t="shared" si="57"/>
        <v/>
      </c>
      <c r="E107" s="462" t="str">
        <f>IF(OR(J107=0,J107=""),"",VLOOKUP(R107,Лист1!$M:$O,3,0))</f>
        <v/>
      </c>
      <c r="F107" s="303" t="str">
        <f t="shared" si="58"/>
        <v/>
      </c>
      <c r="G107" s="587" t="str">
        <f t="shared" si="59"/>
        <v/>
      </c>
      <c r="H107" s="304" t="str">
        <f t="shared" si="60"/>
        <v/>
      </c>
      <c r="J107" s="329">
        <f>form!R88</f>
        <v>0</v>
      </c>
      <c r="L107" s="275" t="str">
        <f t="shared" si="61"/>
        <v/>
      </c>
      <c r="M107" s="275" t="str">
        <f t="shared" si="62"/>
        <v/>
      </c>
      <c r="N107" s="275" t="str">
        <f t="shared" si="63"/>
        <v/>
      </c>
      <c r="O107" s="275" t="str">
        <f t="shared" si="64"/>
        <v/>
      </c>
      <c r="R107" s="330" t="e">
        <f>VLOOKUP(form!C88,Лист1!$L:$N,2,0)</f>
        <v>#N/A</v>
      </c>
      <c r="S107" s="302"/>
      <c r="T107" s="302"/>
      <c r="U107" s="302"/>
      <c r="V107" s="301"/>
      <c r="W107" s="301"/>
      <c r="X107" s="301"/>
      <c r="Y107" s="301"/>
      <c r="AA107" s="332" t="e">
        <f>VLOOKUP(form!C88,Лист1!$L:$N,3,0)</f>
        <v>#N/A</v>
      </c>
      <c r="AB107" s="302"/>
      <c r="AC107" s="302"/>
      <c r="AD107" s="302"/>
      <c r="AE107" s="302"/>
      <c r="AF107" s="301"/>
      <c r="AG107" s="301"/>
      <c r="AH107" s="301"/>
      <c r="AJ107" s="290" t="e">
        <f>VLOOKUP(form!C88,Лист1!$DD:$DH,5,0)</f>
        <v>#N/A</v>
      </c>
      <c r="AK107" s="301"/>
      <c r="AL107" s="301"/>
      <c r="AM107" s="301"/>
      <c r="AN107" s="301"/>
      <c r="AO107" s="301"/>
      <c r="AP107" s="301"/>
      <c r="AQ107" s="301"/>
      <c r="AR107" s="301"/>
      <c r="AS107" s="350" t="e">
        <f t="shared" si="51"/>
        <v>#N/A</v>
      </c>
      <c r="AU107" s="616">
        <f t="shared" si="65"/>
        <v>0</v>
      </c>
      <c r="AV107" s="294">
        <f t="shared" si="66"/>
        <v>0</v>
      </c>
      <c r="AX107" s="294"/>
    </row>
    <row r="108" spans="2:50" s="273" customFormat="1" ht="24.9" customHeight="1" x14ac:dyDescent="0.2">
      <c r="B108" s="381">
        <v>6</v>
      </c>
      <c r="C108" s="566" t="str">
        <f t="shared" si="56"/>
        <v/>
      </c>
      <c r="D108" s="583" t="str">
        <f t="shared" si="57"/>
        <v/>
      </c>
      <c r="E108" s="462" t="str">
        <f>IF(OR(J108=0,J108=""),"",VLOOKUP(R108,Лист1!$M:$O,3,0))</f>
        <v/>
      </c>
      <c r="F108" s="303" t="str">
        <f t="shared" si="58"/>
        <v/>
      </c>
      <c r="G108" s="587" t="str">
        <f t="shared" si="59"/>
        <v/>
      </c>
      <c r="H108" s="304" t="str">
        <f t="shared" si="60"/>
        <v/>
      </c>
      <c r="J108" s="329">
        <f>form!R89</f>
        <v>0</v>
      </c>
      <c r="L108" s="275" t="str">
        <f t="shared" si="61"/>
        <v/>
      </c>
      <c r="M108" s="275" t="str">
        <f t="shared" si="62"/>
        <v/>
      </c>
      <c r="N108" s="275" t="str">
        <f t="shared" si="63"/>
        <v/>
      </c>
      <c r="O108" s="275" t="str">
        <f t="shared" si="64"/>
        <v/>
      </c>
      <c r="R108" s="330" t="e">
        <f>VLOOKUP(form!C89,Лист1!$L:$N,2,0)</f>
        <v>#N/A</v>
      </c>
      <c r="S108" s="302"/>
      <c r="T108" s="302"/>
      <c r="U108" s="302"/>
      <c r="V108" s="301"/>
      <c r="W108" s="301"/>
      <c r="X108" s="301"/>
      <c r="Y108" s="301"/>
      <c r="AA108" s="332" t="e">
        <f>VLOOKUP(form!C89,Лист1!$L:$N,3,0)</f>
        <v>#N/A</v>
      </c>
      <c r="AB108" s="302"/>
      <c r="AC108" s="302"/>
      <c r="AD108" s="302"/>
      <c r="AE108" s="302"/>
      <c r="AF108" s="301"/>
      <c r="AG108" s="301"/>
      <c r="AH108" s="301"/>
      <c r="AJ108" s="290" t="e">
        <f>VLOOKUP(form!C89,Лист1!$DD:$DH,5,0)</f>
        <v>#N/A</v>
      </c>
      <c r="AK108" s="301"/>
      <c r="AL108" s="301"/>
      <c r="AM108" s="301"/>
      <c r="AN108" s="301"/>
      <c r="AO108" s="301"/>
      <c r="AP108" s="301"/>
      <c r="AQ108" s="301"/>
      <c r="AR108" s="301"/>
      <c r="AS108" s="350" t="e">
        <f t="shared" si="51"/>
        <v>#N/A</v>
      </c>
      <c r="AU108" s="616">
        <f t="shared" si="65"/>
        <v>0</v>
      </c>
      <c r="AV108" s="294">
        <f t="shared" si="66"/>
        <v>0</v>
      </c>
      <c r="AX108" s="294"/>
    </row>
    <row r="109" spans="2:50" s="273" customFormat="1" ht="24.9" customHeight="1" x14ac:dyDescent="0.2">
      <c r="B109" s="381">
        <v>7</v>
      </c>
      <c r="C109" s="566" t="str">
        <f t="shared" si="56"/>
        <v/>
      </c>
      <c r="D109" s="583" t="str">
        <f t="shared" si="57"/>
        <v/>
      </c>
      <c r="E109" s="462" t="str">
        <f>IF(OR(J109=0,J109=""),"",VLOOKUP(R109,Лист1!$M:$O,3,0))</f>
        <v/>
      </c>
      <c r="F109" s="303" t="str">
        <f t="shared" si="58"/>
        <v/>
      </c>
      <c r="G109" s="587" t="str">
        <f t="shared" si="59"/>
        <v/>
      </c>
      <c r="H109" s="304" t="str">
        <f t="shared" si="60"/>
        <v/>
      </c>
      <c r="J109" s="329">
        <f>form!R90</f>
        <v>0</v>
      </c>
      <c r="L109" s="275" t="str">
        <f t="shared" si="61"/>
        <v/>
      </c>
      <c r="M109" s="275" t="str">
        <f t="shared" si="62"/>
        <v/>
      </c>
      <c r="N109" s="275" t="str">
        <f t="shared" si="63"/>
        <v/>
      </c>
      <c r="O109" s="275" t="str">
        <f t="shared" si="64"/>
        <v/>
      </c>
      <c r="R109" s="330" t="e">
        <f>VLOOKUP(form!C90,Лист1!$L:$N,2,0)</f>
        <v>#N/A</v>
      </c>
      <c r="S109" s="302"/>
      <c r="T109" s="302"/>
      <c r="U109" s="302"/>
      <c r="V109" s="301"/>
      <c r="W109" s="301"/>
      <c r="X109" s="301"/>
      <c r="Y109" s="301"/>
      <c r="AA109" s="332" t="e">
        <f>VLOOKUP(form!C90,Лист1!$L:$N,3,0)</f>
        <v>#N/A</v>
      </c>
      <c r="AB109" s="302"/>
      <c r="AC109" s="302"/>
      <c r="AD109" s="302"/>
      <c r="AE109" s="302"/>
      <c r="AF109" s="301"/>
      <c r="AG109" s="301"/>
      <c r="AH109" s="301"/>
      <c r="AJ109" s="290" t="e">
        <f>VLOOKUP(form!C90,Лист1!$DD:$DH,5,0)</f>
        <v>#N/A</v>
      </c>
      <c r="AK109" s="301"/>
      <c r="AL109" s="301"/>
      <c r="AM109" s="301"/>
      <c r="AN109" s="301"/>
      <c r="AO109" s="301"/>
      <c r="AP109" s="301"/>
      <c r="AQ109" s="301"/>
      <c r="AR109" s="301"/>
      <c r="AS109" s="350" t="e">
        <f t="shared" si="51"/>
        <v>#N/A</v>
      </c>
      <c r="AU109" s="616">
        <f t="shared" si="65"/>
        <v>0</v>
      </c>
      <c r="AV109" s="294">
        <f t="shared" si="66"/>
        <v>0</v>
      </c>
      <c r="AX109" s="294"/>
    </row>
    <row r="110" spans="2:50" s="273" customFormat="1" ht="24.9" customHeight="1" x14ac:dyDescent="0.2">
      <c r="B110" s="381">
        <v>8</v>
      </c>
      <c r="C110" s="566" t="str">
        <f t="shared" si="56"/>
        <v/>
      </c>
      <c r="D110" s="583" t="str">
        <f t="shared" si="57"/>
        <v/>
      </c>
      <c r="E110" s="462" t="str">
        <f>IF(OR(J110=0,J110=""),"",VLOOKUP(R110,Лист1!$M:$O,3,0))</f>
        <v/>
      </c>
      <c r="F110" s="303" t="str">
        <f t="shared" si="58"/>
        <v/>
      </c>
      <c r="G110" s="587" t="str">
        <f t="shared" si="59"/>
        <v/>
      </c>
      <c r="H110" s="304" t="str">
        <f t="shared" si="60"/>
        <v/>
      </c>
      <c r="J110" s="329">
        <f>form!R91</f>
        <v>0</v>
      </c>
      <c r="L110" s="275" t="str">
        <f t="shared" si="61"/>
        <v/>
      </c>
      <c r="M110" s="275" t="str">
        <f t="shared" si="62"/>
        <v/>
      </c>
      <c r="N110" s="275" t="str">
        <f t="shared" si="63"/>
        <v/>
      </c>
      <c r="O110" s="275" t="str">
        <f t="shared" si="64"/>
        <v/>
      </c>
      <c r="R110" s="330" t="e">
        <f>VLOOKUP(form!C91,Лист1!$L:$N,2,0)</f>
        <v>#N/A</v>
      </c>
      <c r="S110" s="302"/>
      <c r="T110" s="302"/>
      <c r="U110" s="302"/>
      <c r="V110" s="301"/>
      <c r="W110" s="301"/>
      <c r="X110" s="301"/>
      <c r="Y110" s="301"/>
      <c r="AA110" s="332" t="e">
        <f>VLOOKUP(form!C91,Лист1!$L:$N,3,0)</f>
        <v>#N/A</v>
      </c>
      <c r="AB110" s="302"/>
      <c r="AC110" s="302"/>
      <c r="AD110" s="302"/>
      <c r="AE110" s="302"/>
      <c r="AF110" s="301"/>
      <c r="AG110" s="301"/>
      <c r="AH110" s="301"/>
      <c r="AJ110" s="290" t="e">
        <f>VLOOKUP(form!C91,Лист1!$DD:$DH,5,0)</f>
        <v>#N/A</v>
      </c>
      <c r="AK110" s="301"/>
      <c r="AL110" s="301"/>
      <c r="AM110" s="301"/>
      <c r="AN110" s="301"/>
      <c r="AO110" s="301"/>
      <c r="AP110" s="301"/>
      <c r="AQ110" s="301"/>
      <c r="AR110" s="301"/>
      <c r="AS110" s="350" t="e">
        <f t="shared" si="51"/>
        <v>#N/A</v>
      </c>
      <c r="AU110" s="616">
        <f t="shared" si="65"/>
        <v>0</v>
      </c>
      <c r="AV110" s="294">
        <f t="shared" si="66"/>
        <v>0</v>
      </c>
      <c r="AX110" s="294"/>
    </row>
    <row r="111" spans="2:50" s="273" customFormat="1" ht="24.9" customHeight="1" x14ac:dyDescent="0.2">
      <c r="B111" s="381">
        <v>9</v>
      </c>
      <c r="C111" s="566" t="str">
        <f t="shared" si="56"/>
        <v/>
      </c>
      <c r="D111" s="583" t="str">
        <f t="shared" si="57"/>
        <v/>
      </c>
      <c r="E111" s="462" t="str">
        <f>IF(OR(J111=0,J111=""),"",VLOOKUP(R111,Лист1!$M:$O,3,0))</f>
        <v/>
      </c>
      <c r="F111" s="303" t="str">
        <f t="shared" si="58"/>
        <v/>
      </c>
      <c r="G111" s="587" t="str">
        <f t="shared" si="59"/>
        <v/>
      </c>
      <c r="H111" s="304" t="str">
        <f t="shared" si="60"/>
        <v/>
      </c>
      <c r="J111" s="329">
        <f>form!R92</f>
        <v>0</v>
      </c>
      <c r="L111" s="275" t="str">
        <f t="shared" si="61"/>
        <v/>
      </c>
      <c r="M111" s="275" t="str">
        <f t="shared" si="62"/>
        <v/>
      </c>
      <c r="N111" s="275" t="str">
        <f t="shared" si="63"/>
        <v/>
      </c>
      <c r="O111" s="275" t="str">
        <f t="shared" si="64"/>
        <v/>
      </c>
      <c r="R111" s="330" t="e">
        <f>VLOOKUP(form!C92,Лист1!$L:$N,2,0)</f>
        <v>#N/A</v>
      </c>
      <c r="S111" s="302"/>
      <c r="T111" s="302"/>
      <c r="U111" s="302"/>
      <c r="V111" s="301"/>
      <c r="W111" s="301"/>
      <c r="X111" s="301"/>
      <c r="Y111" s="301"/>
      <c r="AA111" s="332" t="e">
        <f>VLOOKUP(form!C92,Лист1!$L:$N,3,0)</f>
        <v>#N/A</v>
      </c>
      <c r="AB111" s="302"/>
      <c r="AC111" s="302"/>
      <c r="AD111" s="302"/>
      <c r="AE111" s="302"/>
      <c r="AF111" s="301"/>
      <c r="AG111" s="301"/>
      <c r="AH111" s="301"/>
      <c r="AJ111" s="290" t="e">
        <f>VLOOKUP(form!C92,Лист1!$DD:$DH,5,0)</f>
        <v>#N/A</v>
      </c>
      <c r="AK111" s="301"/>
      <c r="AL111" s="301"/>
      <c r="AM111" s="301"/>
      <c r="AN111" s="301"/>
      <c r="AO111" s="301"/>
      <c r="AP111" s="301"/>
      <c r="AQ111" s="301"/>
      <c r="AR111" s="301"/>
      <c r="AS111" s="350" t="e">
        <f t="shared" si="51"/>
        <v>#N/A</v>
      </c>
      <c r="AU111" s="616">
        <f t="shared" si="65"/>
        <v>0</v>
      </c>
      <c r="AV111" s="294">
        <f t="shared" si="66"/>
        <v>0</v>
      </c>
      <c r="AX111" s="294"/>
    </row>
    <row r="112" spans="2:50" s="273" customFormat="1" ht="24.9" customHeight="1" x14ac:dyDescent="0.2">
      <c r="B112" s="382">
        <v>10</v>
      </c>
      <c r="C112" s="581" t="str">
        <f t="shared" si="56"/>
        <v/>
      </c>
      <c r="D112" s="584" t="str">
        <f t="shared" si="57"/>
        <v/>
      </c>
      <c r="E112" s="468" t="str">
        <f>IF(OR(J112=0,J112=""),"",VLOOKUP(R112,Лист1!$M:$O,3,0))</f>
        <v/>
      </c>
      <c r="F112" s="360" t="str">
        <f t="shared" si="58"/>
        <v/>
      </c>
      <c r="G112" s="591" t="str">
        <f t="shared" si="59"/>
        <v/>
      </c>
      <c r="H112" s="361" t="str">
        <f t="shared" si="60"/>
        <v/>
      </c>
      <c r="J112" s="329">
        <f>form!R93</f>
        <v>0</v>
      </c>
      <c r="L112" s="275" t="str">
        <f t="shared" si="61"/>
        <v/>
      </c>
      <c r="M112" s="275" t="str">
        <f t="shared" si="62"/>
        <v/>
      </c>
      <c r="N112" s="275" t="str">
        <f t="shared" si="63"/>
        <v/>
      </c>
      <c r="O112" s="275" t="str">
        <f t="shared" si="64"/>
        <v/>
      </c>
      <c r="R112" s="330" t="e">
        <f>VLOOKUP(form!C93,Лист1!$L:$N,2,0)</f>
        <v>#N/A</v>
      </c>
      <c r="S112" s="302"/>
      <c r="T112" s="302"/>
      <c r="U112" s="302"/>
      <c r="V112" s="301"/>
      <c r="W112" s="301"/>
      <c r="X112" s="301"/>
      <c r="Y112" s="301"/>
      <c r="AA112" s="332" t="e">
        <f>VLOOKUP(form!C93,Лист1!$L:$N,3,0)</f>
        <v>#N/A</v>
      </c>
      <c r="AB112" s="302"/>
      <c r="AC112" s="302"/>
      <c r="AD112" s="302"/>
      <c r="AE112" s="302"/>
      <c r="AF112" s="301"/>
      <c r="AG112" s="301"/>
      <c r="AH112" s="301"/>
      <c r="AJ112" s="290" t="e">
        <f>VLOOKUP(form!C93,Лист1!$DD:$DH,5,0)</f>
        <v>#N/A</v>
      </c>
      <c r="AK112" s="301"/>
      <c r="AL112" s="301"/>
      <c r="AM112" s="301"/>
      <c r="AN112" s="301"/>
      <c r="AO112" s="301"/>
      <c r="AP112" s="301"/>
      <c r="AQ112" s="301"/>
      <c r="AR112" s="301"/>
      <c r="AS112" s="350" t="e">
        <f t="shared" si="51"/>
        <v>#N/A</v>
      </c>
      <c r="AU112" s="616">
        <f t="shared" si="65"/>
        <v>0</v>
      </c>
      <c r="AV112" s="294">
        <f t="shared" si="66"/>
        <v>0</v>
      </c>
      <c r="AX112" s="294"/>
    </row>
    <row r="113" spans="2:48" ht="11.1" customHeight="1" x14ac:dyDescent="0.2">
      <c r="G113" s="364"/>
      <c r="H113" s="365"/>
      <c r="L113" s="366"/>
      <c r="M113" s="366"/>
      <c r="AU113" s="367"/>
      <c r="AV113" s="365"/>
    </row>
    <row r="114" spans="2:48" ht="11.1" customHeight="1" x14ac:dyDescent="0.2">
      <c r="B114" s="368"/>
      <c r="C114" s="368"/>
      <c r="D114" s="369" t="s">
        <v>1177</v>
      </c>
      <c r="E114" s="368"/>
      <c r="F114" s="369" t="s">
        <v>1178</v>
      </c>
      <c r="G114" s="370"/>
      <c r="H114" s="371" t="str">
        <f>IF(AND(H8="",H54="",H70="",H86="",H92=""),"",SUM(H8,H54,H70,H86,H92))</f>
        <v/>
      </c>
      <c r="AU114" s="372">
        <f>SUM(AU8:AU113)</f>
        <v>0</v>
      </c>
      <c r="AV114" s="373"/>
    </row>
    <row r="119" spans="2:48" ht="10.8" thickBot="1" x14ac:dyDescent="0.25">
      <c r="B119" s="374"/>
      <c r="C119" s="374"/>
      <c r="D119" s="374"/>
      <c r="E119" s="374"/>
      <c r="F119" s="374"/>
      <c r="G119" s="374"/>
      <c r="H119" s="374"/>
    </row>
    <row r="121" spans="2:48" x14ac:dyDescent="0.2">
      <c r="C121" s="2" t="s">
        <v>1179</v>
      </c>
    </row>
    <row r="122" spans="2:48" x14ac:dyDescent="0.2">
      <c r="C122" s="2" t="s">
        <v>1180</v>
      </c>
    </row>
    <row r="123" spans="2:48" x14ac:dyDescent="0.2">
      <c r="C123" s="2" t="s">
        <v>1181</v>
      </c>
    </row>
  </sheetData>
  <sheetProtection sheet="1" objects="1" scenarios="1"/>
  <mergeCells count="8">
    <mergeCell ref="B5:C5"/>
    <mergeCell ref="G5:H5"/>
    <mergeCell ref="E1:F1"/>
    <mergeCell ref="E2:F2"/>
    <mergeCell ref="G1:H1"/>
    <mergeCell ref="G2:H2"/>
    <mergeCell ref="E3:F3"/>
    <mergeCell ref="G3:H3"/>
  </mergeCells>
  <phoneticPr fontId="7" type="noConversion"/>
  <pageMargins left="0.27" right="0.24" top="0.49" bottom="0.49" header="0.5" footer="0.5"/>
  <pageSetup paperSize="9" scale="92" fitToHeight="1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0" tint="-0.249977111117893"/>
    <pageSetUpPr fitToPage="1"/>
  </sheetPr>
  <dimension ref="B2:X52"/>
  <sheetViews>
    <sheetView showGridLines="0" zoomScaleNormal="100" workbookViewId="0">
      <pane ySplit="7" topLeftCell="A17" activePane="bottomLeft" state="frozen"/>
      <selection activeCell="D55" sqref="D55"/>
      <selection pane="bottomLeft" activeCell="E5" sqref="E5"/>
    </sheetView>
  </sheetViews>
  <sheetFormatPr defaultColWidth="9.109375" defaultRowHeight="10.199999999999999" x14ac:dyDescent="0.2"/>
  <cols>
    <col min="1" max="1" width="2.6640625" style="632" customWidth="1"/>
    <col min="2" max="2" width="2.88671875" style="632" customWidth="1"/>
    <col min="3" max="4" width="9.109375" style="632"/>
    <col min="5" max="5" width="9.109375" style="632" customWidth="1"/>
    <col min="6" max="6" width="9.109375" style="632"/>
    <col min="7" max="7" width="4.33203125" style="632" customWidth="1"/>
    <col min="8" max="8" width="7.88671875" style="632" customWidth="1"/>
    <col min="9" max="12" width="9.109375" style="632"/>
    <col min="13" max="13" width="7.88671875" style="632" customWidth="1"/>
    <col min="14" max="18" width="9.109375" style="632"/>
    <col min="19" max="19" width="7.88671875" style="632" customWidth="1"/>
    <col min="20" max="20" width="9.109375" style="632"/>
    <col min="21" max="21" width="7.88671875" style="632" customWidth="1"/>
    <col min="22" max="16384" width="9.109375" style="632"/>
  </cols>
  <sheetData>
    <row r="2" spans="2:24" ht="13.8" thickBot="1" x14ac:dyDescent="0.3">
      <c r="B2" s="715" t="s">
        <v>1189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  <c r="S2" s="716"/>
    </row>
    <row r="3" spans="2:24" ht="5.0999999999999996" customHeight="1" x14ac:dyDescent="0.25">
      <c r="B3" s="630"/>
    </row>
    <row r="4" spans="2:24" x14ac:dyDescent="0.2">
      <c r="C4" s="636"/>
      <c r="D4" s="635" t="s">
        <v>348</v>
      </c>
      <c r="E4" s="797">
        <v>45352</v>
      </c>
      <c r="F4" s="798"/>
      <c r="G4" s="798"/>
    </row>
    <row r="5" spans="2:24" ht="12.75" customHeight="1" x14ac:dyDescent="0.2">
      <c r="J5" s="799" t="s">
        <v>1190</v>
      </c>
      <c r="K5" s="799"/>
      <c r="L5" s="799"/>
      <c r="M5" s="799"/>
      <c r="N5" s="799"/>
      <c r="O5" s="799"/>
      <c r="P5" s="799"/>
      <c r="Q5" s="799"/>
    </row>
    <row r="6" spans="2:24" ht="18" customHeight="1" x14ac:dyDescent="0.2">
      <c r="B6" s="639"/>
      <c r="C6" s="640" t="s">
        <v>1191</v>
      </c>
      <c r="D6" s="639"/>
      <c r="E6" s="639"/>
      <c r="F6" s="639"/>
      <c r="G6" s="639"/>
      <c r="J6" s="799"/>
      <c r="K6" s="799"/>
      <c r="L6" s="799"/>
      <c r="M6" s="799"/>
      <c r="N6" s="799"/>
      <c r="O6" s="799"/>
      <c r="P6" s="799"/>
      <c r="Q6" s="799"/>
    </row>
    <row r="7" spans="2:24" ht="5.0999999999999996" customHeight="1" x14ac:dyDescent="0.2"/>
    <row r="9" spans="2:24" x14ac:dyDescent="0.2">
      <c r="H9" s="633" t="s">
        <v>1391</v>
      </c>
    </row>
    <row r="10" spans="2:24" x14ac:dyDescent="0.2">
      <c r="H10" s="641" t="s">
        <v>1188</v>
      </c>
      <c r="I10" s="637" t="s">
        <v>1392</v>
      </c>
      <c r="J10" s="637"/>
      <c r="K10" s="637"/>
      <c r="L10" s="637"/>
      <c r="M10" s="637"/>
      <c r="N10" s="637"/>
      <c r="O10" s="637"/>
      <c r="P10" s="637"/>
      <c r="Q10" s="637"/>
      <c r="R10" s="637"/>
      <c r="S10" s="637"/>
      <c r="T10" s="637"/>
      <c r="U10" s="637"/>
      <c r="V10" s="637"/>
      <c r="W10" s="637"/>
      <c r="X10" s="637"/>
    </row>
    <row r="11" spans="2:24" x14ac:dyDescent="0.2">
      <c r="H11" s="641" t="s">
        <v>66</v>
      </c>
      <c r="I11" s="637" t="s">
        <v>1192</v>
      </c>
      <c r="J11" s="637"/>
      <c r="K11" s="637"/>
      <c r="L11" s="637"/>
      <c r="M11" s="637"/>
      <c r="N11" s="637"/>
      <c r="O11" s="637"/>
      <c r="P11" s="637"/>
      <c r="Q11" s="637"/>
      <c r="R11" s="637"/>
      <c r="S11" s="637"/>
      <c r="T11" s="637"/>
      <c r="U11" s="637"/>
      <c r="V11" s="637"/>
      <c r="W11" s="637"/>
      <c r="X11" s="637"/>
    </row>
    <row r="12" spans="2:24" x14ac:dyDescent="0.2">
      <c r="H12" s="641" t="s">
        <v>65</v>
      </c>
      <c r="I12" s="637" t="s">
        <v>1193</v>
      </c>
      <c r="J12" s="637"/>
      <c r="K12" s="637"/>
      <c r="L12" s="637"/>
      <c r="M12" s="637"/>
      <c r="N12" s="637"/>
      <c r="O12" s="637"/>
      <c r="P12" s="637"/>
      <c r="Q12" s="637"/>
      <c r="R12" s="637"/>
      <c r="S12" s="637"/>
      <c r="T12" s="637"/>
      <c r="U12" s="637"/>
      <c r="V12" s="637"/>
      <c r="W12" s="637"/>
      <c r="X12" s="637"/>
    </row>
    <row r="14" spans="2:24" x14ac:dyDescent="0.2">
      <c r="H14" s="633" t="s">
        <v>1194</v>
      </c>
    </row>
    <row r="15" spans="2:24" x14ac:dyDescent="0.2">
      <c r="H15" s="641" t="s">
        <v>1195</v>
      </c>
      <c r="I15" s="637" t="s">
        <v>1196</v>
      </c>
      <c r="J15" s="637"/>
      <c r="K15" s="637"/>
      <c r="L15" s="637"/>
      <c r="M15" s="641" t="s">
        <v>345</v>
      </c>
      <c r="N15" s="637" t="s">
        <v>1197</v>
      </c>
      <c r="O15" s="637"/>
      <c r="P15" s="637"/>
      <c r="Q15" s="637"/>
      <c r="R15" s="637"/>
      <c r="S15" s="641" t="s">
        <v>346</v>
      </c>
      <c r="T15" s="637" t="s">
        <v>1198</v>
      </c>
      <c r="U15" s="637"/>
      <c r="V15" s="637"/>
      <c r="W15" s="637"/>
      <c r="X15" s="637"/>
    </row>
    <row r="17" spans="8:24" x14ac:dyDescent="0.2">
      <c r="H17" s="633" t="s">
        <v>1199</v>
      </c>
    </row>
    <row r="18" spans="8:24" x14ac:dyDescent="0.2">
      <c r="H18" s="638" t="s">
        <v>1200</v>
      </c>
      <c r="I18" s="637"/>
      <c r="J18" s="637"/>
      <c r="K18" s="637"/>
      <c r="L18" s="637"/>
      <c r="M18" s="638" t="s">
        <v>1201</v>
      </c>
      <c r="N18" s="637"/>
      <c r="O18" s="637"/>
      <c r="P18" s="637"/>
      <c r="Q18" s="637"/>
      <c r="R18" s="637"/>
      <c r="S18" s="638" t="s">
        <v>1202</v>
      </c>
      <c r="T18" s="637"/>
      <c r="U18" s="637"/>
      <c r="V18" s="637"/>
      <c r="W18" s="637"/>
      <c r="X18" s="637"/>
    </row>
    <row r="19" spans="8:24" x14ac:dyDescent="0.2">
      <c r="H19" s="641" t="s">
        <v>62</v>
      </c>
      <c r="I19" s="637" t="s">
        <v>1203</v>
      </c>
      <c r="J19" s="637"/>
      <c r="K19" s="637"/>
      <c r="L19" s="637"/>
      <c r="M19" s="641">
        <v>30</v>
      </c>
      <c r="N19" s="637" t="s">
        <v>1204</v>
      </c>
      <c r="O19" s="637"/>
      <c r="P19" s="637"/>
      <c r="Q19" s="637"/>
      <c r="R19" s="637"/>
      <c r="S19" s="641" t="s">
        <v>99</v>
      </c>
      <c r="T19" s="637" t="s">
        <v>1205</v>
      </c>
      <c r="U19" s="637"/>
      <c r="V19" s="637"/>
      <c r="W19" s="637"/>
      <c r="X19" s="637"/>
    </row>
    <row r="20" spans="8:24" x14ac:dyDescent="0.2">
      <c r="H20" s="641" t="s">
        <v>64</v>
      </c>
      <c r="I20" s="637" t="s">
        <v>1388</v>
      </c>
      <c r="J20" s="637"/>
      <c r="K20" s="637"/>
      <c r="L20" s="637"/>
      <c r="M20" s="641"/>
      <c r="N20" s="637"/>
      <c r="O20" s="637"/>
      <c r="P20" s="637"/>
      <c r="Q20" s="637"/>
      <c r="R20" s="637"/>
      <c r="S20" s="641" t="s">
        <v>276</v>
      </c>
      <c r="T20" s="637" t="s">
        <v>1206</v>
      </c>
      <c r="U20" s="637"/>
      <c r="V20" s="637"/>
      <c r="W20" s="637"/>
      <c r="X20" s="637"/>
    </row>
    <row r="21" spans="8:24" x14ac:dyDescent="0.2">
      <c r="H21" s="641" t="s">
        <v>288</v>
      </c>
      <c r="I21" s="637" t="s">
        <v>1389</v>
      </c>
      <c r="J21" s="637"/>
      <c r="K21" s="637"/>
      <c r="L21" s="637"/>
      <c r="M21" s="638"/>
      <c r="N21" s="637"/>
      <c r="O21" s="637"/>
      <c r="P21" s="637"/>
      <c r="Q21" s="637"/>
      <c r="R21" s="637"/>
      <c r="S21" s="637"/>
      <c r="T21" s="637"/>
      <c r="U21" s="637"/>
      <c r="V21" s="637"/>
      <c r="W21" s="637"/>
      <c r="X21" s="637"/>
    </row>
    <row r="22" spans="8:24" x14ac:dyDescent="0.2">
      <c r="H22" s="641" t="s">
        <v>289</v>
      </c>
      <c r="I22" s="637" t="s">
        <v>1390</v>
      </c>
      <c r="J22" s="637"/>
      <c r="K22" s="637"/>
      <c r="L22" s="637"/>
      <c r="M22" s="641"/>
      <c r="N22" s="637"/>
      <c r="O22" s="637"/>
      <c r="P22" s="637"/>
      <c r="Q22" s="637"/>
      <c r="R22" s="637"/>
      <c r="S22" s="638"/>
      <c r="T22" s="637"/>
      <c r="U22" s="637"/>
      <c r="V22" s="637"/>
      <c r="W22" s="637"/>
      <c r="X22" s="637"/>
    </row>
    <row r="23" spans="8:24" x14ac:dyDescent="0.2">
      <c r="H23" s="631"/>
    </row>
    <row r="24" spans="8:24" x14ac:dyDescent="0.2">
      <c r="H24" s="633" t="s">
        <v>1207</v>
      </c>
    </row>
    <row r="25" spans="8:24" x14ac:dyDescent="0.2">
      <c r="H25" s="641" t="s">
        <v>62</v>
      </c>
      <c r="I25" s="637" t="s">
        <v>1208</v>
      </c>
      <c r="J25" s="637"/>
      <c r="K25" s="637"/>
      <c r="L25" s="637"/>
      <c r="M25" s="641" t="s">
        <v>472</v>
      </c>
      <c r="N25" s="637" t="s">
        <v>1209</v>
      </c>
      <c r="O25" s="637"/>
      <c r="P25" s="637"/>
      <c r="Q25" s="641" t="s">
        <v>1547</v>
      </c>
      <c r="R25" s="637" t="s">
        <v>1733</v>
      </c>
      <c r="S25" s="637"/>
      <c r="T25" s="637"/>
      <c r="U25" s="637"/>
      <c r="V25" s="637"/>
      <c r="W25" s="637"/>
      <c r="X25" s="637"/>
    </row>
    <row r="27" spans="8:24" x14ac:dyDescent="0.2">
      <c r="H27" s="633" t="s">
        <v>1210</v>
      </c>
    </row>
    <row r="28" spans="8:24" x14ac:dyDescent="0.2">
      <c r="H28" s="641" t="s">
        <v>62</v>
      </c>
      <c r="I28" s="637" t="s">
        <v>1211</v>
      </c>
      <c r="J28" s="637"/>
      <c r="K28" s="637"/>
      <c r="L28" s="637"/>
      <c r="M28" s="641" t="s">
        <v>61</v>
      </c>
      <c r="N28" s="637" t="s">
        <v>1212</v>
      </c>
      <c r="O28" s="637"/>
      <c r="P28" s="637"/>
      <c r="Q28" s="637"/>
      <c r="R28" s="637"/>
      <c r="S28" s="637"/>
      <c r="T28" s="637"/>
      <c r="U28" s="637"/>
      <c r="V28" s="637"/>
      <c r="W28" s="637"/>
      <c r="X28" s="637"/>
    </row>
    <row r="29" spans="8:24" x14ac:dyDescent="0.2">
      <c r="I29" s="634"/>
    </row>
    <row r="30" spans="8:24" x14ac:dyDescent="0.2">
      <c r="H30" s="633" t="s">
        <v>1213</v>
      </c>
    </row>
    <row r="31" spans="8:24" x14ac:dyDescent="0.2">
      <c r="H31" s="641" t="s">
        <v>203</v>
      </c>
      <c r="I31" s="637" t="s">
        <v>1393</v>
      </c>
      <c r="J31" s="637"/>
      <c r="K31" s="637"/>
      <c r="L31" s="637"/>
      <c r="M31" s="637"/>
      <c r="N31" s="637"/>
      <c r="O31" s="637"/>
      <c r="P31" s="637"/>
      <c r="Q31" s="637"/>
      <c r="R31" s="637"/>
      <c r="S31" s="637"/>
      <c r="T31" s="637"/>
      <c r="U31" s="637"/>
      <c r="V31" s="637"/>
      <c r="W31" s="637"/>
      <c r="X31" s="637"/>
    </row>
    <row r="33" spans="8:24" x14ac:dyDescent="0.2">
      <c r="H33" s="633" t="s">
        <v>1214</v>
      </c>
    </row>
    <row r="34" spans="8:24" x14ac:dyDescent="0.2">
      <c r="H34" s="641" t="s">
        <v>1195</v>
      </c>
      <c r="I34" s="637" t="s">
        <v>1394</v>
      </c>
      <c r="J34" s="637"/>
      <c r="K34" s="637"/>
      <c r="L34" s="637"/>
      <c r="M34" s="637"/>
      <c r="N34" s="637"/>
      <c r="O34" s="637"/>
      <c r="P34" s="637"/>
      <c r="Q34" s="637"/>
      <c r="R34" s="637"/>
      <c r="S34" s="637"/>
      <c r="T34" s="637"/>
      <c r="U34" s="637"/>
      <c r="V34" s="637"/>
      <c r="W34" s="637"/>
      <c r="X34" s="637"/>
    </row>
    <row r="35" spans="8:24" x14ac:dyDescent="0.2">
      <c r="H35" s="641" t="s">
        <v>343</v>
      </c>
      <c r="I35" s="637" t="s">
        <v>1215</v>
      </c>
      <c r="J35" s="637"/>
      <c r="K35" s="637"/>
      <c r="L35" s="637"/>
      <c r="M35" s="637"/>
      <c r="N35" s="637"/>
      <c r="O35" s="637"/>
      <c r="P35" s="637"/>
      <c r="Q35" s="637"/>
      <c r="R35" s="637"/>
      <c r="S35" s="637"/>
      <c r="T35" s="637"/>
      <c r="U35" s="637"/>
      <c r="V35" s="637"/>
      <c r="W35" s="637"/>
      <c r="X35" s="637"/>
    </row>
    <row r="36" spans="8:24" x14ac:dyDescent="0.2">
      <c r="H36" s="641" t="s">
        <v>344</v>
      </c>
      <c r="I36" s="637" t="s">
        <v>1216</v>
      </c>
      <c r="J36" s="637"/>
      <c r="K36" s="637"/>
      <c r="L36" s="637"/>
      <c r="M36" s="637"/>
      <c r="N36" s="637"/>
      <c r="O36" s="637"/>
      <c r="P36" s="637"/>
      <c r="Q36" s="637"/>
      <c r="R36" s="637"/>
      <c r="S36" s="637"/>
      <c r="T36" s="637"/>
      <c r="U36" s="637"/>
      <c r="V36" s="637"/>
      <c r="W36" s="637"/>
      <c r="X36" s="637"/>
    </row>
    <row r="38" spans="8:24" x14ac:dyDescent="0.2">
      <c r="H38" s="633" t="s">
        <v>1217</v>
      </c>
    </row>
    <row r="39" spans="8:24" x14ac:dyDescent="0.2">
      <c r="H39" s="642" t="s">
        <v>81</v>
      </c>
      <c r="I39" s="637" t="s">
        <v>1395</v>
      </c>
      <c r="J39" s="637"/>
      <c r="K39" s="637"/>
      <c r="L39" s="637"/>
      <c r="M39" s="637"/>
      <c r="N39" s="637"/>
      <c r="O39" s="637"/>
      <c r="P39" s="637"/>
      <c r="Q39" s="637"/>
      <c r="R39" s="637"/>
      <c r="S39" s="637"/>
      <c r="T39" s="637"/>
      <c r="U39" s="637"/>
      <c r="V39" s="637"/>
      <c r="W39" s="637"/>
      <c r="X39" s="637"/>
    </row>
    <row r="40" spans="8:24" x14ac:dyDescent="0.2">
      <c r="H40" s="642" t="s">
        <v>82</v>
      </c>
      <c r="I40" s="637" t="s">
        <v>1396</v>
      </c>
      <c r="J40" s="637"/>
      <c r="K40" s="637"/>
      <c r="L40" s="637"/>
      <c r="M40" s="637"/>
      <c r="N40" s="637"/>
      <c r="O40" s="637"/>
      <c r="P40" s="637"/>
      <c r="Q40" s="637"/>
      <c r="R40" s="637"/>
      <c r="S40" s="637"/>
      <c r="T40" s="637"/>
      <c r="U40" s="637"/>
      <c r="V40" s="637"/>
      <c r="W40" s="637"/>
      <c r="X40" s="637"/>
    </row>
    <row r="41" spans="8:24" x14ac:dyDescent="0.2">
      <c r="H41" s="642" t="s">
        <v>83</v>
      </c>
      <c r="I41" s="637" t="s">
        <v>1397</v>
      </c>
      <c r="J41" s="637"/>
      <c r="K41" s="637"/>
      <c r="L41" s="637"/>
      <c r="M41" s="637"/>
      <c r="N41" s="637"/>
      <c r="O41" s="637"/>
      <c r="P41" s="637"/>
      <c r="Q41" s="637"/>
      <c r="R41" s="637"/>
      <c r="S41" s="637"/>
      <c r="T41" s="637"/>
      <c r="U41" s="637"/>
      <c r="V41" s="637"/>
      <c r="W41" s="637"/>
      <c r="X41" s="637"/>
    </row>
    <row r="42" spans="8:24" x14ac:dyDescent="0.2">
      <c r="H42" s="642" t="s">
        <v>84</v>
      </c>
      <c r="I42" s="637" t="s">
        <v>1398</v>
      </c>
      <c r="J42" s="637"/>
      <c r="K42" s="637"/>
      <c r="L42" s="637"/>
      <c r="M42" s="637"/>
      <c r="N42" s="637"/>
      <c r="O42" s="637"/>
      <c r="P42" s="637"/>
      <c r="Q42" s="637"/>
      <c r="R42" s="637"/>
      <c r="S42" s="637"/>
      <c r="T42" s="637"/>
      <c r="U42" s="637"/>
      <c r="V42" s="637"/>
      <c r="W42" s="637"/>
      <c r="X42" s="637"/>
    </row>
    <row r="43" spans="8:24" x14ac:dyDescent="0.2">
      <c r="H43" s="642" t="s">
        <v>85</v>
      </c>
      <c r="I43" s="637" t="s">
        <v>1399</v>
      </c>
      <c r="J43" s="637"/>
      <c r="K43" s="637"/>
      <c r="L43" s="637"/>
      <c r="M43" s="637"/>
      <c r="N43" s="637"/>
      <c r="O43" s="637"/>
      <c r="P43" s="637"/>
      <c r="Q43" s="637"/>
      <c r="R43" s="637"/>
      <c r="S43" s="637"/>
      <c r="T43" s="637"/>
      <c r="U43" s="637"/>
      <c r="V43" s="637"/>
      <c r="W43" s="637"/>
      <c r="X43" s="637"/>
    </row>
    <row r="45" spans="8:24" x14ac:dyDescent="0.2">
      <c r="H45" s="633" t="s">
        <v>347</v>
      </c>
    </row>
    <row r="46" spans="8:24" x14ac:dyDescent="0.2">
      <c r="H46" s="641" t="s">
        <v>203</v>
      </c>
      <c r="I46" s="637" t="s">
        <v>1218</v>
      </c>
      <c r="J46" s="637"/>
      <c r="K46" s="637"/>
      <c r="L46" s="637"/>
      <c r="M46" s="637"/>
      <c r="N46" s="637"/>
      <c r="O46" s="637"/>
      <c r="P46" s="637"/>
      <c r="Q46" s="637"/>
      <c r="R46" s="637"/>
      <c r="S46" s="637"/>
      <c r="T46" s="637"/>
      <c r="U46" s="637"/>
      <c r="V46" s="637"/>
      <c r="W46" s="637"/>
      <c r="X46" s="637"/>
    </row>
    <row r="48" spans="8:24" x14ac:dyDescent="0.2">
      <c r="H48" s="633" t="s">
        <v>1219</v>
      </c>
    </row>
    <row r="49" spans="8:24" x14ac:dyDescent="0.2">
      <c r="H49" s="641" t="s">
        <v>203</v>
      </c>
      <c r="I49" s="637" t="s">
        <v>1220</v>
      </c>
      <c r="J49" s="637"/>
      <c r="K49" s="637"/>
      <c r="L49" s="637"/>
      <c r="M49" s="637"/>
      <c r="N49" s="637"/>
      <c r="O49" s="637"/>
      <c r="P49" s="637"/>
      <c r="Q49" s="637"/>
      <c r="R49" s="637"/>
      <c r="S49" s="637"/>
      <c r="T49" s="637"/>
      <c r="U49" s="637"/>
      <c r="V49" s="637"/>
      <c r="W49" s="637"/>
      <c r="X49" s="637"/>
    </row>
    <row r="51" spans="8:24" x14ac:dyDescent="0.2">
      <c r="H51" s="633" t="s">
        <v>1221</v>
      </c>
    </row>
    <row r="52" spans="8:24" x14ac:dyDescent="0.2">
      <c r="H52" s="641" t="s">
        <v>253</v>
      </c>
      <c r="I52" s="637" t="s">
        <v>1222</v>
      </c>
      <c r="J52" s="637"/>
      <c r="K52" s="637"/>
      <c r="L52" s="637"/>
      <c r="M52" s="637"/>
      <c r="N52" s="637"/>
      <c r="O52" s="637"/>
      <c r="P52" s="637"/>
      <c r="Q52" s="637"/>
      <c r="R52" s="637"/>
      <c r="S52" s="637"/>
      <c r="T52" s="637"/>
      <c r="U52" s="637"/>
      <c r="V52" s="637"/>
      <c r="W52" s="637"/>
      <c r="X52" s="637"/>
    </row>
  </sheetData>
  <sheetProtection sheet="1" objects="1" scenarios="1"/>
  <mergeCells count="2">
    <mergeCell ref="E4:G4"/>
    <mergeCell ref="J5:Q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0" tint="-0.249977111117893"/>
    <pageSetUpPr fitToPage="1"/>
  </sheetPr>
  <dimension ref="B2:X47"/>
  <sheetViews>
    <sheetView showGridLines="0" zoomScaleNormal="100" workbookViewId="0">
      <pane ySplit="7" topLeftCell="A8" activePane="bottomLeft" state="frozen"/>
      <selection activeCell="D55" sqref="D55"/>
      <selection pane="bottomLeft" activeCell="D45" sqref="D45"/>
    </sheetView>
  </sheetViews>
  <sheetFormatPr defaultColWidth="9.109375" defaultRowHeight="10.199999999999999" x14ac:dyDescent="0.2"/>
  <cols>
    <col min="1" max="1" width="2.6640625" style="632" customWidth="1"/>
    <col min="2" max="2" width="2.88671875" style="632" customWidth="1"/>
    <col min="3" max="4" width="9.109375" style="632"/>
    <col min="5" max="5" width="9.109375" style="632" customWidth="1"/>
    <col min="6" max="6" width="9.109375" style="632"/>
    <col min="7" max="7" width="4.33203125" style="632" customWidth="1"/>
    <col min="8" max="8" width="14.44140625" style="632" customWidth="1"/>
    <col min="9" max="12" width="9.109375" style="632"/>
    <col min="13" max="13" width="7.88671875" style="632" customWidth="1"/>
    <col min="14" max="18" width="9.109375" style="632"/>
    <col min="19" max="19" width="7.88671875" style="632" customWidth="1"/>
    <col min="20" max="20" width="9.109375" style="632"/>
    <col min="21" max="21" width="7.88671875" style="632" customWidth="1"/>
    <col min="22" max="16384" width="9.109375" style="632"/>
  </cols>
  <sheetData>
    <row r="2" spans="2:24" ht="13.8" thickBot="1" x14ac:dyDescent="0.3">
      <c r="B2" s="715" t="s">
        <v>1223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  <c r="S2" s="716"/>
    </row>
    <row r="3" spans="2:24" ht="5.0999999999999996" customHeight="1" x14ac:dyDescent="0.25">
      <c r="B3" s="630"/>
    </row>
    <row r="4" spans="2:24" x14ac:dyDescent="0.2">
      <c r="C4" s="636"/>
      <c r="D4" s="635" t="s">
        <v>348</v>
      </c>
      <c r="E4" s="797">
        <f>'Код ДП'!E4</f>
        <v>45352</v>
      </c>
      <c r="F4" s="798"/>
      <c r="G4" s="798"/>
    </row>
    <row r="5" spans="2:24" ht="12.75" customHeight="1" x14ac:dyDescent="0.2">
      <c r="J5" s="800" t="s">
        <v>1225</v>
      </c>
      <c r="K5" s="800"/>
      <c r="L5" s="800"/>
      <c r="M5" s="800"/>
      <c r="N5" s="800"/>
      <c r="O5" s="800"/>
      <c r="P5" s="800"/>
      <c r="Q5" s="800"/>
    </row>
    <row r="6" spans="2:24" ht="18" customHeight="1" x14ac:dyDescent="0.2">
      <c r="B6" s="639"/>
      <c r="C6" s="801" t="s">
        <v>1224</v>
      </c>
      <c r="D6" s="801"/>
      <c r="E6" s="801"/>
      <c r="F6" s="801"/>
      <c r="G6" s="639"/>
      <c r="J6" s="800"/>
      <c r="K6" s="800"/>
      <c r="L6" s="800"/>
      <c r="M6" s="800"/>
      <c r="N6" s="800"/>
      <c r="O6" s="800"/>
      <c r="P6" s="800"/>
      <c r="Q6" s="800"/>
    </row>
    <row r="7" spans="2:24" ht="5.0999999999999996" customHeight="1" x14ac:dyDescent="0.2"/>
    <row r="9" spans="2:24" x14ac:dyDescent="0.2">
      <c r="H9" s="633" t="s">
        <v>1391</v>
      </c>
    </row>
    <row r="10" spans="2:24" x14ac:dyDescent="0.2">
      <c r="H10" s="641" t="s">
        <v>1188</v>
      </c>
      <c r="I10" s="637" t="s">
        <v>1226</v>
      </c>
      <c r="J10" s="637"/>
      <c r="K10" s="637"/>
      <c r="L10" s="637"/>
      <c r="M10" s="637"/>
      <c r="N10" s="637"/>
      <c r="O10" s="637"/>
      <c r="P10" s="637"/>
      <c r="Q10" s="637"/>
      <c r="R10" s="637"/>
      <c r="S10" s="637"/>
      <c r="T10" s="637"/>
      <c r="U10" s="637"/>
      <c r="V10" s="637"/>
      <c r="W10" s="637"/>
      <c r="X10" s="637"/>
    </row>
    <row r="11" spans="2:24" x14ac:dyDescent="0.2">
      <c r="H11" s="641" t="s">
        <v>66</v>
      </c>
      <c r="I11" s="637" t="s">
        <v>1227</v>
      </c>
      <c r="J11" s="637"/>
      <c r="K11" s="637"/>
      <c r="L11" s="637"/>
      <c r="M11" s="637"/>
      <c r="N11" s="637"/>
      <c r="O11" s="637"/>
      <c r="P11" s="637"/>
      <c r="Q11" s="637"/>
      <c r="R11" s="637"/>
      <c r="S11" s="637"/>
      <c r="T11" s="637"/>
      <c r="U11" s="637"/>
      <c r="V11" s="637"/>
      <c r="W11" s="637"/>
      <c r="X11" s="637"/>
    </row>
    <row r="12" spans="2:24" x14ac:dyDescent="0.2">
      <c r="H12" s="641" t="s">
        <v>65</v>
      </c>
      <c r="I12" s="637" t="s">
        <v>1400</v>
      </c>
      <c r="J12" s="637"/>
      <c r="K12" s="637"/>
      <c r="L12" s="637"/>
      <c r="M12" s="637"/>
      <c r="N12" s="637"/>
      <c r="O12" s="637"/>
      <c r="P12" s="637"/>
      <c r="Q12" s="637"/>
      <c r="R12" s="637"/>
      <c r="S12" s="637"/>
      <c r="T12" s="637"/>
      <c r="U12" s="637"/>
      <c r="V12" s="637"/>
      <c r="W12" s="637"/>
      <c r="X12" s="637"/>
    </row>
    <row r="14" spans="2:24" x14ac:dyDescent="0.2">
      <c r="H14" s="633" t="s">
        <v>1199</v>
      </c>
    </row>
    <row r="15" spans="2:24" x14ac:dyDescent="0.2">
      <c r="H15" s="638" t="s">
        <v>1228</v>
      </c>
      <c r="I15" s="637"/>
      <c r="J15" s="637"/>
      <c r="K15" s="637"/>
      <c r="L15" s="637"/>
      <c r="M15" s="638"/>
      <c r="N15" s="637"/>
      <c r="O15" s="637"/>
      <c r="P15" s="638" t="s">
        <v>1232</v>
      </c>
      <c r="Q15" s="637"/>
      <c r="R15" s="637"/>
      <c r="S15" s="638"/>
      <c r="T15" s="637"/>
      <c r="U15" s="637"/>
      <c r="V15" s="637"/>
      <c r="W15" s="637"/>
      <c r="X15" s="637"/>
    </row>
    <row r="16" spans="2:24" x14ac:dyDescent="0.2">
      <c r="H16" s="641" t="s">
        <v>62</v>
      </c>
      <c r="I16" s="637" t="s">
        <v>1229</v>
      </c>
      <c r="J16" s="637"/>
      <c r="K16" s="637"/>
      <c r="L16" s="637"/>
      <c r="M16" s="641"/>
      <c r="N16" s="637"/>
      <c r="O16" s="637"/>
      <c r="P16" s="641" t="s">
        <v>63</v>
      </c>
      <c r="Q16" s="637" t="s">
        <v>1233</v>
      </c>
      <c r="R16" s="637"/>
      <c r="S16" s="641"/>
      <c r="T16" s="637"/>
      <c r="U16" s="637"/>
      <c r="V16" s="637"/>
      <c r="W16" s="637"/>
      <c r="X16" s="637"/>
    </row>
    <row r="17" spans="8:24" x14ac:dyDescent="0.2">
      <c r="H17" s="641">
        <v>30</v>
      </c>
      <c r="I17" s="637" t="s">
        <v>1230</v>
      </c>
      <c r="J17" s="637"/>
      <c r="K17" s="637"/>
      <c r="L17" s="637"/>
      <c r="M17" s="641"/>
      <c r="N17" s="637"/>
      <c r="O17" s="637"/>
      <c r="P17" s="641" t="s">
        <v>64</v>
      </c>
      <c r="Q17" s="637" t="s">
        <v>1234</v>
      </c>
      <c r="R17" s="637"/>
      <c r="S17" s="641"/>
      <c r="T17" s="637"/>
      <c r="U17" s="637"/>
      <c r="V17" s="637"/>
      <c r="W17" s="637"/>
      <c r="X17" s="637"/>
    </row>
    <row r="18" spans="8:24" x14ac:dyDescent="0.2">
      <c r="H18" s="641"/>
      <c r="I18" s="637"/>
      <c r="J18" s="637"/>
      <c r="K18" s="637"/>
      <c r="L18" s="637"/>
      <c r="M18" s="641"/>
      <c r="N18" s="637"/>
      <c r="O18" s="637"/>
      <c r="P18" s="641"/>
      <c r="Q18" s="637"/>
      <c r="R18" s="637"/>
      <c r="S18" s="637"/>
      <c r="T18" s="637"/>
      <c r="U18" s="637"/>
      <c r="V18" s="637"/>
      <c r="W18" s="637"/>
      <c r="X18" s="637"/>
    </row>
    <row r="19" spans="8:24" x14ac:dyDescent="0.2">
      <c r="H19" s="638" t="s">
        <v>1401</v>
      </c>
      <c r="I19" s="637"/>
      <c r="J19" s="637"/>
      <c r="K19" s="637"/>
      <c r="L19" s="637"/>
      <c r="M19" s="641"/>
      <c r="N19" s="637"/>
      <c r="O19" s="637"/>
      <c r="P19" s="641"/>
      <c r="Q19" s="637"/>
      <c r="R19" s="637"/>
      <c r="S19" s="638"/>
      <c r="T19" s="637"/>
      <c r="U19" s="637"/>
      <c r="V19" s="637"/>
      <c r="W19" s="637"/>
      <c r="X19" s="637"/>
    </row>
    <row r="20" spans="8:24" x14ac:dyDescent="0.2">
      <c r="H20" s="641">
        <v>30</v>
      </c>
      <c r="I20" s="637" t="s">
        <v>1231</v>
      </c>
      <c r="J20" s="637"/>
      <c r="K20" s="637"/>
      <c r="L20" s="637"/>
      <c r="M20" s="641"/>
      <c r="N20" s="637"/>
      <c r="O20" s="637"/>
      <c r="P20" s="638"/>
      <c r="Q20" s="637"/>
      <c r="R20" s="637"/>
      <c r="S20" s="641"/>
      <c r="T20" s="637"/>
      <c r="U20" s="637"/>
      <c r="V20" s="637"/>
      <c r="W20" s="637"/>
      <c r="X20" s="637"/>
    </row>
    <row r="22" spans="8:24" x14ac:dyDescent="0.2">
      <c r="H22" s="633" t="s">
        <v>1213</v>
      </c>
    </row>
    <row r="23" spans="8:24" x14ac:dyDescent="0.2">
      <c r="H23" s="641" t="s">
        <v>203</v>
      </c>
      <c r="I23" s="637" t="s">
        <v>1393</v>
      </c>
      <c r="J23" s="637"/>
      <c r="K23" s="637"/>
      <c r="L23" s="637"/>
      <c r="M23" s="637"/>
      <c r="N23" s="637"/>
      <c r="O23" s="637"/>
      <c r="P23" s="637"/>
      <c r="Q23" s="637"/>
      <c r="R23" s="637"/>
      <c r="S23" s="637"/>
      <c r="T23" s="637"/>
      <c r="U23" s="637"/>
      <c r="V23" s="637"/>
      <c r="W23" s="637"/>
      <c r="X23" s="637"/>
    </row>
    <row r="25" spans="8:24" x14ac:dyDescent="0.2">
      <c r="H25" s="633" t="s">
        <v>69</v>
      </c>
    </row>
    <row r="26" spans="8:24" x14ac:dyDescent="0.2">
      <c r="H26" s="641" t="s">
        <v>203</v>
      </c>
      <c r="I26" s="637" t="s">
        <v>1235</v>
      </c>
      <c r="J26" s="637"/>
      <c r="K26" s="637"/>
      <c r="L26" s="637"/>
      <c r="M26" s="637"/>
      <c r="N26" s="637"/>
      <c r="O26" s="637"/>
      <c r="P26" s="637"/>
      <c r="Q26" s="637"/>
      <c r="R26" s="637"/>
      <c r="S26" s="637"/>
      <c r="T26" s="637"/>
      <c r="U26" s="637"/>
      <c r="V26" s="637"/>
      <c r="W26" s="637"/>
      <c r="X26" s="637"/>
    </row>
    <row r="28" spans="8:24" x14ac:dyDescent="0.2">
      <c r="H28" s="633" t="s">
        <v>1214</v>
      </c>
    </row>
    <row r="29" spans="8:24" x14ac:dyDescent="0.2">
      <c r="H29" s="641" t="s">
        <v>342</v>
      </c>
      <c r="I29" s="637" t="s">
        <v>1236</v>
      </c>
      <c r="J29" s="637"/>
      <c r="K29" s="637"/>
      <c r="L29" s="637"/>
      <c r="M29" s="637"/>
      <c r="N29" s="637"/>
      <c r="O29" s="637"/>
      <c r="P29" s="641" t="s">
        <v>344</v>
      </c>
      <c r="Q29" s="637" t="s">
        <v>1237</v>
      </c>
      <c r="R29" s="637"/>
      <c r="S29" s="637"/>
      <c r="T29" s="637"/>
      <c r="U29" s="637"/>
      <c r="V29" s="637"/>
      <c r="W29" s="637"/>
      <c r="X29" s="637"/>
    </row>
    <row r="31" spans="8:24" x14ac:dyDescent="0.2">
      <c r="H31" s="633" t="s">
        <v>1238</v>
      </c>
    </row>
    <row r="32" spans="8:24" x14ac:dyDescent="0.2">
      <c r="H32" s="638" t="s">
        <v>1239</v>
      </c>
      <c r="I32" s="637"/>
      <c r="J32" s="637"/>
      <c r="K32" s="637"/>
      <c r="L32" s="637"/>
      <c r="M32" s="637"/>
      <c r="N32" s="637"/>
      <c r="O32" s="637"/>
      <c r="P32" s="638" t="s">
        <v>1245</v>
      </c>
      <c r="Q32" s="637"/>
      <c r="R32" s="637"/>
      <c r="S32" s="637"/>
      <c r="T32" s="637"/>
      <c r="U32" s="637"/>
      <c r="V32" s="637"/>
      <c r="W32" s="637"/>
      <c r="X32" s="637"/>
    </row>
    <row r="33" spans="8:24" x14ac:dyDescent="0.2">
      <c r="H33" s="642" t="s">
        <v>81</v>
      </c>
      <c r="I33" s="637" t="s">
        <v>1240</v>
      </c>
      <c r="J33" s="637"/>
      <c r="K33" s="637"/>
      <c r="L33" s="637"/>
      <c r="M33" s="637"/>
      <c r="N33" s="637"/>
      <c r="O33" s="637"/>
      <c r="P33" s="642" t="s">
        <v>26</v>
      </c>
      <c r="Q33" s="637" t="s">
        <v>1246</v>
      </c>
      <c r="R33" s="637"/>
      <c r="S33" s="637"/>
      <c r="T33" s="637"/>
      <c r="U33" s="637"/>
      <c r="V33" s="637"/>
      <c r="W33" s="637"/>
      <c r="X33" s="637"/>
    </row>
    <row r="34" spans="8:24" x14ac:dyDescent="0.2">
      <c r="H34" s="642" t="s">
        <v>82</v>
      </c>
      <c r="I34" s="637" t="s">
        <v>1241</v>
      </c>
      <c r="J34" s="637"/>
      <c r="K34" s="637"/>
      <c r="L34" s="637"/>
      <c r="M34" s="637"/>
      <c r="N34" s="637"/>
      <c r="O34" s="637"/>
      <c r="P34" s="642" t="s">
        <v>27</v>
      </c>
      <c r="Q34" s="637" t="s">
        <v>1247</v>
      </c>
      <c r="R34" s="637"/>
      <c r="S34" s="637"/>
      <c r="T34" s="637"/>
      <c r="U34" s="637"/>
      <c r="V34" s="637"/>
      <c r="W34" s="637"/>
      <c r="X34" s="637"/>
    </row>
    <row r="35" spans="8:24" x14ac:dyDescent="0.2">
      <c r="H35" s="642" t="s">
        <v>83</v>
      </c>
      <c r="I35" s="637" t="s">
        <v>1242</v>
      </c>
      <c r="J35" s="637"/>
      <c r="K35" s="637"/>
      <c r="L35" s="637"/>
      <c r="M35" s="637"/>
      <c r="N35" s="637"/>
      <c r="O35" s="637"/>
      <c r="P35" s="642" t="s">
        <v>28</v>
      </c>
      <c r="Q35" s="637" t="s">
        <v>1404</v>
      </c>
      <c r="R35" s="637"/>
      <c r="S35" s="637"/>
      <c r="T35" s="637"/>
      <c r="U35" s="637"/>
      <c r="V35" s="637"/>
      <c r="W35" s="637"/>
      <c r="X35" s="637"/>
    </row>
    <row r="36" spans="8:24" x14ac:dyDescent="0.2">
      <c r="H36" s="642" t="s">
        <v>84</v>
      </c>
      <c r="I36" s="637" t="s">
        <v>1243</v>
      </c>
      <c r="J36" s="637"/>
      <c r="K36" s="637"/>
      <c r="L36" s="637"/>
      <c r="M36" s="637"/>
      <c r="N36" s="637"/>
      <c r="O36" s="637"/>
      <c r="P36" s="642" t="s">
        <v>29</v>
      </c>
      <c r="Q36" s="637" t="s">
        <v>1405</v>
      </c>
      <c r="R36" s="637"/>
      <c r="S36" s="637"/>
      <c r="T36" s="637"/>
      <c r="U36" s="637"/>
      <c r="V36" s="637"/>
      <c r="W36" s="637"/>
      <c r="X36" s="637"/>
    </row>
    <row r="37" spans="8:24" x14ac:dyDescent="0.2">
      <c r="H37" s="642" t="s">
        <v>85</v>
      </c>
      <c r="I37" s="637" t="s">
        <v>1244</v>
      </c>
      <c r="J37" s="637"/>
      <c r="K37" s="637"/>
      <c r="L37" s="637"/>
      <c r="M37" s="637"/>
      <c r="N37" s="637"/>
      <c r="O37" s="637"/>
      <c r="P37" s="642" t="s">
        <v>30</v>
      </c>
      <c r="Q37" s="637" t="s">
        <v>1406</v>
      </c>
      <c r="R37" s="637"/>
      <c r="S37" s="637"/>
      <c r="T37" s="637"/>
      <c r="U37" s="637"/>
      <c r="V37" s="637"/>
      <c r="W37" s="637"/>
      <c r="X37" s="637"/>
    </row>
    <row r="38" spans="8:24" x14ac:dyDescent="0.2">
      <c r="H38" s="642"/>
      <c r="I38" s="637"/>
      <c r="J38" s="637"/>
      <c r="K38" s="637"/>
      <c r="L38" s="637"/>
      <c r="M38" s="637"/>
      <c r="N38" s="637"/>
      <c r="O38" s="637"/>
      <c r="P38" s="642" t="s">
        <v>31</v>
      </c>
      <c r="Q38" s="637" t="s">
        <v>1407</v>
      </c>
      <c r="R38" s="637"/>
      <c r="S38" s="637"/>
      <c r="T38" s="637"/>
      <c r="U38" s="637"/>
      <c r="V38" s="637"/>
      <c r="W38" s="637"/>
      <c r="X38" s="637"/>
    </row>
    <row r="39" spans="8:24" x14ac:dyDescent="0.2">
      <c r="H39" s="642"/>
      <c r="I39" s="637"/>
      <c r="J39" s="637"/>
      <c r="K39" s="637"/>
      <c r="L39" s="637"/>
      <c r="M39" s="637"/>
      <c r="N39" s="637"/>
      <c r="O39" s="637"/>
      <c r="P39" s="642" t="s">
        <v>32</v>
      </c>
      <c r="Q39" s="637" t="s">
        <v>1408</v>
      </c>
      <c r="R39" s="637"/>
      <c r="S39" s="637"/>
      <c r="T39" s="637"/>
      <c r="U39" s="637"/>
      <c r="V39" s="637"/>
      <c r="W39" s="637"/>
      <c r="X39" s="637"/>
    </row>
    <row r="40" spans="8:24" x14ac:dyDescent="0.2">
      <c r="H40" s="642"/>
      <c r="I40" s="637"/>
      <c r="J40" s="637"/>
      <c r="K40" s="637"/>
      <c r="L40" s="637"/>
      <c r="M40" s="637"/>
      <c r="N40" s="637"/>
      <c r="O40" s="637"/>
      <c r="P40" s="642" t="s">
        <v>33</v>
      </c>
      <c r="Q40" s="637" t="s">
        <v>1409</v>
      </c>
      <c r="R40" s="637"/>
      <c r="S40" s="637"/>
      <c r="T40" s="637"/>
      <c r="U40" s="637"/>
      <c r="V40" s="637"/>
      <c r="W40" s="637"/>
      <c r="X40" s="637"/>
    </row>
    <row r="41" spans="8:24" x14ac:dyDescent="0.2">
      <c r="H41" s="642"/>
      <c r="I41" s="637"/>
      <c r="J41" s="637"/>
      <c r="K41" s="637"/>
      <c r="L41" s="637"/>
      <c r="M41" s="637"/>
      <c r="N41" s="637"/>
      <c r="O41" s="637"/>
      <c r="P41" s="642" t="s">
        <v>34</v>
      </c>
      <c r="Q41" s="637" t="s">
        <v>1410</v>
      </c>
      <c r="R41" s="637"/>
      <c r="S41" s="637"/>
      <c r="T41" s="637"/>
      <c r="U41" s="637"/>
      <c r="V41" s="637"/>
      <c r="W41" s="637"/>
      <c r="X41" s="637"/>
    </row>
    <row r="43" spans="8:24" x14ac:dyDescent="0.2">
      <c r="H43" s="633" t="s">
        <v>1221</v>
      </c>
    </row>
    <row r="44" spans="8:24" x14ac:dyDescent="0.2">
      <c r="H44" s="643" t="s">
        <v>274</v>
      </c>
      <c r="I44" s="637"/>
      <c r="J44" s="637" t="s">
        <v>1248</v>
      </c>
      <c r="K44" s="637"/>
      <c r="L44" s="637"/>
      <c r="M44" s="637"/>
      <c r="N44" s="637"/>
      <c r="O44" s="637"/>
      <c r="P44" s="637"/>
      <c r="Q44" s="637"/>
      <c r="R44" s="637"/>
      <c r="S44" s="637"/>
      <c r="T44" s="637"/>
      <c r="U44" s="637"/>
      <c r="V44" s="637"/>
      <c r="W44" s="637"/>
      <c r="X44" s="637"/>
    </row>
    <row r="45" spans="8:24" x14ac:dyDescent="0.2">
      <c r="H45" s="643" t="s">
        <v>349</v>
      </c>
      <c r="I45" s="637"/>
      <c r="J45" s="637" t="s">
        <v>1249</v>
      </c>
      <c r="K45" s="637"/>
      <c r="L45" s="637"/>
      <c r="M45" s="637"/>
      <c r="N45" s="637"/>
      <c r="O45" s="637"/>
      <c r="P45" s="637"/>
      <c r="Q45" s="637"/>
      <c r="R45" s="637"/>
      <c r="S45" s="637"/>
      <c r="T45" s="637"/>
      <c r="U45" s="637"/>
      <c r="V45" s="637"/>
      <c r="W45" s="637"/>
      <c r="X45" s="637"/>
    </row>
    <row r="46" spans="8:24" x14ac:dyDescent="0.2">
      <c r="H46" s="643" t="s">
        <v>1734</v>
      </c>
      <c r="I46" s="637"/>
      <c r="J46" s="637" t="s">
        <v>1732</v>
      </c>
      <c r="K46" s="637"/>
      <c r="L46" s="637"/>
      <c r="M46" s="637"/>
      <c r="N46" s="637"/>
      <c r="O46" s="637"/>
      <c r="P46" s="637"/>
      <c r="Q46" s="637"/>
      <c r="R46" s="637"/>
      <c r="S46" s="637"/>
      <c r="T46" s="637"/>
      <c r="U46" s="637"/>
      <c r="V46" s="637"/>
      <c r="W46" s="637"/>
      <c r="X46" s="637"/>
    </row>
    <row r="47" spans="8:24" x14ac:dyDescent="0.2">
      <c r="H47" s="643" t="s">
        <v>223</v>
      </c>
      <c r="I47" s="637"/>
      <c r="J47" s="637" t="s">
        <v>1250</v>
      </c>
      <c r="K47" s="637"/>
      <c r="L47" s="637"/>
      <c r="M47" s="637"/>
      <c r="N47" s="637"/>
      <c r="O47" s="637"/>
      <c r="P47" s="637"/>
      <c r="Q47" s="637"/>
      <c r="R47" s="637"/>
      <c r="S47" s="637"/>
      <c r="T47" s="637"/>
      <c r="U47" s="637"/>
      <c r="V47" s="637"/>
      <c r="W47" s="637"/>
      <c r="X47" s="637"/>
    </row>
  </sheetData>
  <sheetProtection password="DB76"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 tint="-0.249977111117893"/>
    <pageSetUpPr fitToPage="1"/>
  </sheetPr>
  <dimension ref="B2:X68"/>
  <sheetViews>
    <sheetView showGridLines="0" zoomScaleNormal="100" workbookViewId="0">
      <pane ySplit="7" topLeftCell="A8" activePane="bottomLeft" state="frozen"/>
      <selection activeCell="D55" sqref="D55"/>
      <selection pane="bottomLeft" activeCell="H31" sqref="H31"/>
    </sheetView>
  </sheetViews>
  <sheetFormatPr defaultColWidth="9.109375" defaultRowHeight="10.199999999999999" x14ac:dyDescent="0.2"/>
  <cols>
    <col min="1" max="1" width="2.6640625" style="632" customWidth="1"/>
    <col min="2" max="2" width="2.88671875" style="632" customWidth="1"/>
    <col min="3" max="4" width="9.109375" style="632"/>
    <col min="5" max="5" width="9.109375" style="632" customWidth="1"/>
    <col min="6" max="6" width="9.109375" style="632"/>
    <col min="7" max="7" width="4.33203125" style="632" customWidth="1"/>
    <col min="8" max="8" width="7.88671875" style="632" customWidth="1"/>
    <col min="9" max="12" width="9.109375" style="632"/>
    <col min="13" max="13" width="7.88671875" style="632" customWidth="1"/>
    <col min="14" max="18" width="9.109375" style="632"/>
    <col min="19" max="19" width="7.88671875" style="632" customWidth="1"/>
    <col min="20" max="20" width="9.109375" style="632"/>
    <col min="21" max="21" width="7.88671875" style="632" customWidth="1"/>
    <col min="22" max="16384" width="9.109375" style="632"/>
  </cols>
  <sheetData>
    <row r="2" spans="2:24" ht="13.8" thickBot="1" x14ac:dyDescent="0.3">
      <c r="B2" s="715" t="s">
        <v>1189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  <c r="S2" s="716"/>
    </row>
    <row r="3" spans="2:24" ht="5.0999999999999996" customHeight="1" x14ac:dyDescent="0.25">
      <c r="B3" s="630"/>
    </row>
    <row r="4" spans="2:24" x14ac:dyDescent="0.2">
      <c r="C4" s="636"/>
      <c r="D4" s="635" t="s">
        <v>348</v>
      </c>
      <c r="E4" s="797">
        <f>'Код ДП'!E4</f>
        <v>45352</v>
      </c>
      <c r="F4" s="798"/>
      <c r="G4" s="798"/>
    </row>
    <row r="5" spans="2:24" ht="12.75" customHeight="1" x14ac:dyDescent="0.2">
      <c r="J5" s="802" t="s">
        <v>350</v>
      </c>
      <c r="K5" s="802"/>
      <c r="L5" s="802"/>
      <c r="M5" s="802"/>
      <c r="N5" s="802"/>
      <c r="O5" s="802"/>
      <c r="P5" s="802"/>
      <c r="Q5" s="802"/>
    </row>
    <row r="6" spans="2:24" ht="18" customHeight="1" x14ac:dyDescent="0.2">
      <c r="B6" s="639"/>
      <c r="C6" s="801" t="s">
        <v>1251</v>
      </c>
      <c r="D6" s="801"/>
      <c r="E6" s="801"/>
      <c r="F6" s="801"/>
      <c r="G6" s="639"/>
      <c r="J6" s="802"/>
      <c r="K6" s="802"/>
      <c r="L6" s="802"/>
      <c r="M6" s="802"/>
      <c r="N6" s="802"/>
      <c r="O6" s="802"/>
      <c r="P6" s="802"/>
      <c r="Q6" s="802"/>
    </row>
    <row r="7" spans="2:24" ht="5.0999999999999996" customHeight="1" x14ac:dyDescent="0.2"/>
    <row r="9" spans="2:24" x14ac:dyDescent="0.2">
      <c r="H9" s="633" t="s">
        <v>1207</v>
      </c>
    </row>
    <row r="10" spans="2:24" x14ac:dyDescent="0.2">
      <c r="H10" s="641" t="s">
        <v>62</v>
      </c>
      <c r="I10" s="637" t="s">
        <v>951</v>
      </c>
      <c r="J10" s="637"/>
      <c r="K10" s="637"/>
      <c r="L10" s="637"/>
      <c r="M10" s="641"/>
      <c r="N10" s="637"/>
      <c r="O10" s="637"/>
      <c r="P10" s="637"/>
      <c r="Q10" s="637"/>
      <c r="R10" s="637"/>
      <c r="S10" s="637"/>
      <c r="T10" s="637"/>
      <c r="U10" s="637"/>
      <c r="V10" s="637"/>
      <c r="W10" s="637"/>
      <c r="X10" s="637"/>
    </row>
    <row r="11" spans="2:24" x14ac:dyDescent="0.2">
      <c r="H11" s="641" t="s">
        <v>472</v>
      </c>
      <c r="I11" s="637" t="s">
        <v>1209</v>
      </c>
      <c r="J11" s="637"/>
      <c r="K11" s="637"/>
      <c r="L11" s="637"/>
      <c r="M11" s="641"/>
      <c r="N11" s="637"/>
      <c r="O11" s="637"/>
      <c r="P11" s="637"/>
      <c r="Q11" s="637"/>
      <c r="R11" s="637"/>
      <c r="S11" s="637"/>
      <c r="T11" s="637"/>
      <c r="U11" s="637"/>
      <c r="V11" s="637"/>
      <c r="W11" s="637"/>
      <c r="X11" s="637"/>
    </row>
    <row r="13" spans="2:24" x14ac:dyDescent="0.2">
      <c r="H13" s="633" t="s">
        <v>1213</v>
      </c>
    </row>
    <row r="14" spans="2:24" x14ac:dyDescent="0.2">
      <c r="H14" s="641" t="s">
        <v>203</v>
      </c>
      <c r="I14" s="637" t="s">
        <v>1393</v>
      </c>
      <c r="J14" s="637"/>
      <c r="K14" s="637"/>
      <c r="L14" s="637"/>
      <c r="M14" s="637"/>
      <c r="N14" s="637"/>
      <c r="O14" s="637"/>
      <c r="P14" s="637"/>
      <c r="Q14" s="637"/>
      <c r="R14" s="637"/>
      <c r="S14" s="637"/>
      <c r="T14" s="637"/>
      <c r="U14" s="637"/>
      <c r="V14" s="637"/>
      <c r="W14" s="637"/>
      <c r="X14" s="637"/>
    </row>
    <row r="16" spans="2:24" x14ac:dyDescent="0.2">
      <c r="H16" s="633" t="s">
        <v>69</v>
      </c>
    </row>
    <row r="17" spans="8:24" x14ac:dyDescent="0.2">
      <c r="H17" s="641" t="s">
        <v>203</v>
      </c>
      <c r="I17" s="637" t="s">
        <v>1235</v>
      </c>
      <c r="J17" s="637"/>
      <c r="K17" s="637"/>
      <c r="L17" s="637"/>
      <c r="M17" s="637"/>
      <c r="N17" s="637"/>
      <c r="O17" s="637"/>
      <c r="P17" s="637"/>
      <c r="Q17" s="637"/>
      <c r="R17" s="637"/>
      <c r="S17" s="637"/>
      <c r="T17" s="637"/>
      <c r="U17" s="637"/>
      <c r="V17" s="637"/>
      <c r="W17" s="637"/>
      <c r="X17" s="637"/>
    </row>
    <row r="19" spans="8:24" x14ac:dyDescent="0.2">
      <c r="H19" s="633" t="s">
        <v>1252</v>
      </c>
    </row>
    <row r="20" spans="8:24" x14ac:dyDescent="0.2">
      <c r="H20" s="642" t="s">
        <v>351</v>
      </c>
      <c r="I20" s="637" t="s">
        <v>1411</v>
      </c>
      <c r="J20" s="637"/>
      <c r="K20" s="637"/>
      <c r="L20" s="637"/>
      <c r="M20" s="637"/>
      <c r="N20" s="637"/>
      <c r="O20" s="637"/>
      <c r="P20" s="642"/>
      <c r="Q20" s="637"/>
      <c r="R20" s="637"/>
      <c r="S20" s="637"/>
      <c r="T20" s="637"/>
      <c r="U20" s="637"/>
      <c r="V20" s="637"/>
      <c r="W20" s="637"/>
      <c r="X20" s="637"/>
    </row>
    <row r="22" spans="8:24" x14ac:dyDescent="0.2">
      <c r="H22" s="633" t="s">
        <v>1221</v>
      </c>
    </row>
    <row r="23" spans="8:24" x14ac:dyDescent="0.2">
      <c r="H23" s="643" t="s">
        <v>352</v>
      </c>
      <c r="I23" s="637"/>
      <c r="J23" s="637" t="s">
        <v>1253</v>
      </c>
      <c r="K23" s="637"/>
      <c r="L23" s="637"/>
      <c r="M23" s="637"/>
      <c r="N23" s="637"/>
      <c r="O23" s="637"/>
      <c r="P23" s="637"/>
      <c r="Q23" s="637"/>
      <c r="R23" s="637"/>
      <c r="S23" s="637"/>
      <c r="T23" s="637"/>
      <c r="U23" s="637"/>
      <c r="V23" s="637"/>
      <c r="W23" s="637"/>
      <c r="X23" s="637"/>
    </row>
    <row r="24" spans="8:24" x14ac:dyDescent="0.2">
      <c r="H24" s="633"/>
    </row>
    <row r="25" spans="8:24" x14ac:dyDescent="0.2">
      <c r="H25" s="633"/>
    </row>
    <row r="26" spans="8:24" x14ac:dyDescent="0.2">
      <c r="H26" s="633"/>
    </row>
    <row r="27" spans="8:24" x14ac:dyDescent="0.2">
      <c r="H27" s="633"/>
    </row>
    <row r="28" spans="8:24" x14ac:dyDescent="0.2">
      <c r="H28" s="633"/>
    </row>
    <row r="29" spans="8:24" x14ac:dyDescent="0.2">
      <c r="H29" s="633"/>
    </row>
    <row r="30" spans="8:24" x14ac:dyDescent="0.2">
      <c r="H30" s="633"/>
    </row>
    <row r="31" spans="8:24" x14ac:dyDescent="0.2">
      <c r="H31" s="633"/>
    </row>
    <row r="32" spans="8:24" x14ac:dyDescent="0.2">
      <c r="H32" s="633"/>
    </row>
    <row r="33" spans="8:8" x14ac:dyDescent="0.2">
      <c r="H33" s="633"/>
    </row>
    <row r="34" spans="8:8" x14ac:dyDescent="0.2">
      <c r="H34" s="633"/>
    </row>
    <row r="35" spans="8:8" x14ac:dyDescent="0.2">
      <c r="H35" s="633"/>
    </row>
    <row r="36" spans="8:8" x14ac:dyDescent="0.2">
      <c r="H36" s="633"/>
    </row>
    <row r="37" spans="8:8" x14ac:dyDescent="0.2">
      <c r="H37" s="633"/>
    </row>
    <row r="38" spans="8:8" x14ac:dyDescent="0.2">
      <c r="H38" s="633"/>
    </row>
    <row r="39" spans="8:8" x14ac:dyDescent="0.2">
      <c r="H39" s="633"/>
    </row>
    <row r="40" spans="8:8" x14ac:dyDescent="0.2">
      <c r="H40" s="633"/>
    </row>
    <row r="41" spans="8:8" x14ac:dyDescent="0.2">
      <c r="H41" s="633"/>
    </row>
    <row r="42" spans="8:8" x14ac:dyDescent="0.2">
      <c r="H42" s="633"/>
    </row>
    <row r="43" spans="8:8" x14ac:dyDescent="0.2">
      <c r="H43" s="633"/>
    </row>
    <row r="44" spans="8:8" x14ac:dyDescent="0.2">
      <c r="H44" s="633"/>
    </row>
    <row r="45" spans="8:8" x14ac:dyDescent="0.2">
      <c r="H45" s="633"/>
    </row>
    <row r="46" spans="8:8" x14ac:dyDescent="0.2">
      <c r="H46" s="633"/>
    </row>
    <row r="47" spans="8:8" x14ac:dyDescent="0.2">
      <c r="H47" s="633"/>
    </row>
    <row r="48" spans="8:8" x14ac:dyDescent="0.2">
      <c r="H48" s="633"/>
    </row>
    <row r="49" spans="8:8" x14ac:dyDescent="0.2">
      <c r="H49" s="633"/>
    </row>
    <row r="50" spans="8:8" x14ac:dyDescent="0.2">
      <c r="H50" s="633"/>
    </row>
    <row r="51" spans="8:8" x14ac:dyDescent="0.2">
      <c r="H51" s="633"/>
    </row>
    <row r="52" spans="8:8" x14ac:dyDescent="0.2">
      <c r="H52" s="633"/>
    </row>
    <row r="53" spans="8:8" x14ac:dyDescent="0.2">
      <c r="H53" s="633"/>
    </row>
    <row r="54" spans="8:8" x14ac:dyDescent="0.2">
      <c r="H54" s="633"/>
    </row>
    <row r="55" spans="8:8" x14ac:dyDescent="0.2">
      <c r="H55" s="633"/>
    </row>
    <row r="56" spans="8:8" x14ac:dyDescent="0.2">
      <c r="H56" s="633"/>
    </row>
    <row r="57" spans="8:8" x14ac:dyDescent="0.2">
      <c r="H57" s="633"/>
    </row>
    <row r="58" spans="8:8" x14ac:dyDescent="0.2">
      <c r="H58" s="633"/>
    </row>
    <row r="59" spans="8:8" x14ac:dyDescent="0.2">
      <c r="H59" s="633"/>
    </row>
    <row r="60" spans="8:8" x14ac:dyDescent="0.2">
      <c r="H60" s="633"/>
    </row>
    <row r="61" spans="8:8" x14ac:dyDescent="0.2">
      <c r="H61" s="633"/>
    </row>
    <row r="62" spans="8:8" x14ac:dyDescent="0.2">
      <c r="H62" s="633"/>
    </row>
    <row r="63" spans="8:8" x14ac:dyDescent="0.2">
      <c r="H63" s="633"/>
    </row>
    <row r="64" spans="8:8" x14ac:dyDescent="0.2">
      <c r="H64" s="633"/>
    </row>
    <row r="65" spans="8:8" x14ac:dyDescent="0.2">
      <c r="H65" s="633"/>
    </row>
    <row r="66" spans="8:8" x14ac:dyDescent="0.2">
      <c r="H66" s="633"/>
    </row>
    <row r="67" spans="8:8" x14ac:dyDescent="0.2">
      <c r="H67" s="633"/>
    </row>
    <row r="68" spans="8:8" x14ac:dyDescent="0.2">
      <c r="H68" s="633"/>
    </row>
  </sheetData>
  <sheetProtection password="D276"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 tint="-0.249977111117893"/>
    <pageSetUpPr fitToPage="1"/>
  </sheetPr>
  <dimension ref="B2:X70"/>
  <sheetViews>
    <sheetView showGridLines="0" zoomScaleNormal="100" workbookViewId="0">
      <pane ySplit="7" topLeftCell="A8" activePane="bottomLeft" state="frozen"/>
      <selection activeCell="Y23" sqref="Y23"/>
      <selection pane="bottomLeft" activeCell="F51" sqref="F51"/>
    </sheetView>
  </sheetViews>
  <sheetFormatPr defaultColWidth="9.109375" defaultRowHeight="10.199999999999999" x14ac:dyDescent="0.2"/>
  <cols>
    <col min="1" max="1" width="2.6640625" style="632" customWidth="1"/>
    <col min="2" max="2" width="2.88671875" style="632" customWidth="1"/>
    <col min="3" max="4" width="9.109375" style="632"/>
    <col min="5" max="5" width="9.109375" style="632" customWidth="1"/>
    <col min="6" max="6" width="9.109375" style="632"/>
    <col min="7" max="7" width="4.33203125" style="632" customWidth="1"/>
    <col min="8" max="8" width="7.88671875" style="632" customWidth="1"/>
    <col min="9" max="12" width="9.109375" style="632"/>
    <col min="13" max="13" width="7.88671875" style="632" customWidth="1"/>
    <col min="14" max="18" width="9.109375" style="632"/>
    <col min="19" max="19" width="7.88671875" style="632" customWidth="1"/>
    <col min="20" max="20" width="9.109375" style="632"/>
    <col min="21" max="21" width="7.88671875" style="632" customWidth="1"/>
    <col min="22" max="16384" width="9.109375" style="632"/>
  </cols>
  <sheetData>
    <row r="2" spans="2:24" ht="13.8" thickBot="1" x14ac:dyDescent="0.3">
      <c r="B2" s="715" t="s">
        <v>1189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  <c r="S2" s="716"/>
    </row>
    <row r="3" spans="2:24" ht="5.0999999999999996" customHeight="1" x14ac:dyDescent="0.25">
      <c r="B3" s="630"/>
    </row>
    <row r="4" spans="2:24" x14ac:dyDescent="0.2">
      <c r="C4" s="636"/>
      <c r="D4" s="635" t="s">
        <v>348</v>
      </c>
      <c r="E4" s="797">
        <f>'Код ДП'!E4</f>
        <v>45352</v>
      </c>
      <c r="F4" s="798"/>
      <c r="G4" s="798"/>
    </row>
    <row r="5" spans="2:24" ht="12.75" customHeight="1" x14ac:dyDescent="0.2">
      <c r="J5" s="803" t="s">
        <v>1254</v>
      </c>
      <c r="K5" s="803"/>
      <c r="L5" s="803"/>
      <c r="M5" s="803"/>
      <c r="N5" s="803"/>
      <c r="O5" s="803"/>
      <c r="P5" s="803"/>
      <c r="Q5" s="803"/>
    </row>
    <row r="6" spans="2:24" ht="18" customHeight="1" x14ac:dyDescent="0.2">
      <c r="B6" s="639"/>
      <c r="C6" s="801" t="s">
        <v>353</v>
      </c>
      <c r="D6" s="801"/>
      <c r="E6" s="801"/>
      <c r="F6" s="801"/>
      <c r="G6" s="639"/>
      <c r="J6" s="803"/>
      <c r="K6" s="803"/>
      <c r="L6" s="803"/>
      <c r="M6" s="803"/>
      <c r="N6" s="803"/>
      <c r="O6" s="803"/>
      <c r="P6" s="803"/>
      <c r="Q6" s="803"/>
    </row>
    <row r="7" spans="2:24" ht="5.0999999999999996" customHeight="1" x14ac:dyDescent="0.2"/>
    <row r="9" spans="2:24" x14ac:dyDescent="0.2">
      <c r="H9" s="633" t="s">
        <v>1213</v>
      </c>
    </row>
    <row r="10" spans="2:24" x14ac:dyDescent="0.2">
      <c r="H10" s="641" t="s">
        <v>203</v>
      </c>
      <c r="I10" s="637" t="s">
        <v>1393</v>
      </c>
      <c r="J10" s="637"/>
      <c r="K10" s="637"/>
      <c r="L10" s="637"/>
      <c r="M10" s="637"/>
      <c r="N10" s="637"/>
      <c r="O10" s="637"/>
      <c r="P10" s="637"/>
      <c r="Q10" s="637"/>
      <c r="R10" s="637"/>
      <c r="S10" s="637"/>
      <c r="T10" s="637"/>
      <c r="U10" s="637"/>
      <c r="V10" s="637"/>
      <c r="W10" s="637"/>
      <c r="X10" s="637"/>
    </row>
    <row r="11" spans="2:24" x14ac:dyDescent="0.2">
      <c r="H11" s="633"/>
    </row>
    <row r="12" spans="2:24" x14ac:dyDescent="0.2">
      <c r="H12" s="633" t="s">
        <v>69</v>
      </c>
    </row>
    <row r="13" spans="2:24" x14ac:dyDescent="0.2">
      <c r="H13" s="641" t="s">
        <v>203</v>
      </c>
      <c r="I13" s="637" t="s">
        <v>1235</v>
      </c>
      <c r="J13" s="637"/>
      <c r="K13" s="637"/>
      <c r="L13" s="637"/>
      <c r="M13" s="637"/>
      <c r="N13" s="637"/>
      <c r="O13" s="637"/>
      <c r="P13" s="637"/>
      <c r="Q13" s="637"/>
      <c r="R13" s="637"/>
      <c r="S13" s="637"/>
      <c r="T13" s="637"/>
      <c r="U13" s="637"/>
      <c r="V13" s="637"/>
      <c r="W13" s="637"/>
      <c r="X13" s="637"/>
    </row>
    <row r="14" spans="2:24" x14ac:dyDescent="0.2">
      <c r="H14" s="633"/>
    </row>
    <row r="15" spans="2:24" x14ac:dyDescent="0.2">
      <c r="H15" s="633" t="s">
        <v>1255</v>
      </c>
    </row>
    <row r="16" spans="2:24" x14ac:dyDescent="0.2">
      <c r="H16" s="638" t="s">
        <v>1256</v>
      </c>
      <c r="I16" s="637"/>
      <c r="J16" s="637"/>
      <c r="K16" s="637"/>
      <c r="L16" s="637"/>
      <c r="M16" s="638"/>
      <c r="N16" s="637"/>
      <c r="O16" s="637"/>
      <c r="P16" s="638" t="s">
        <v>1271</v>
      </c>
      <c r="Q16" s="637"/>
      <c r="R16" s="637"/>
      <c r="S16" s="637"/>
      <c r="T16" s="637"/>
      <c r="U16" s="637"/>
      <c r="V16" s="637"/>
      <c r="W16" s="637"/>
      <c r="X16" s="637"/>
    </row>
    <row r="17" spans="8:24" x14ac:dyDescent="0.2">
      <c r="H17" s="642" t="s">
        <v>81</v>
      </c>
      <c r="I17" s="637" t="s">
        <v>1257</v>
      </c>
      <c r="J17" s="637"/>
      <c r="K17" s="637"/>
      <c r="L17" s="637"/>
      <c r="M17" s="637"/>
      <c r="N17" s="637"/>
      <c r="O17" s="637"/>
      <c r="P17" s="641" t="s">
        <v>212</v>
      </c>
      <c r="Q17" s="637" t="s">
        <v>1402</v>
      </c>
      <c r="R17" s="637"/>
      <c r="S17" s="637"/>
      <c r="T17" s="637"/>
      <c r="U17" s="637"/>
      <c r="V17" s="637"/>
      <c r="W17" s="637"/>
      <c r="X17" s="637"/>
    </row>
    <row r="18" spans="8:24" x14ac:dyDescent="0.2">
      <c r="H18" s="642" t="s">
        <v>82</v>
      </c>
      <c r="I18" s="637" t="s">
        <v>1258</v>
      </c>
      <c r="J18" s="637"/>
      <c r="K18" s="637"/>
      <c r="L18" s="637"/>
      <c r="M18" s="637"/>
      <c r="N18" s="637"/>
      <c r="O18" s="637"/>
      <c r="P18" s="641" t="s">
        <v>213</v>
      </c>
      <c r="Q18" s="637" t="s">
        <v>1272</v>
      </c>
      <c r="R18" s="637"/>
      <c r="S18" s="637"/>
      <c r="T18" s="637"/>
      <c r="U18" s="637"/>
      <c r="V18" s="637"/>
      <c r="W18" s="637"/>
      <c r="X18" s="637"/>
    </row>
    <row r="19" spans="8:24" x14ac:dyDescent="0.2">
      <c r="H19" s="642" t="s">
        <v>83</v>
      </c>
      <c r="I19" s="637" t="s">
        <v>1259</v>
      </c>
      <c r="J19" s="637"/>
      <c r="K19" s="637"/>
      <c r="L19" s="637"/>
      <c r="M19" s="637"/>
      <c r="N19" s="637"/>
      <c r="O19" s="637"/>
      <c r="P19" s="637"/>
      <c r="Q19" s="637"/>
      <c r="R19" s="637"/>
      <c r="S19" s="637"/>
      <c r="T19" s="637"/>
      <c r="U19" s="637"/>
      <c r="V19" s="637"/>
      <c r="W19" s="637"/>
      <c r="X19" s="637"/>
    </row>
    <row r="20" spans="8:24" x14ac:dyDescent="0.2">
      <c r="H20" s="642" t="s">
        <v>84</v>
      </c>
      <c r="I20" s="637" t="s">
        <v>1260</v>
      </c>
      <c r="J20" s="637"/>
      <c r="K20" s="637"/>
      <c r="L20" s="637"/>
      <c r="M20" s="637"/>
      <c r="N20" s="637"/>
      <c r="O20" s="637"/>
      <c r="P20" s="638" t="s">
        <v>1273</v>
      </c>
      <c r="Q20" s="637"/>
      <c r="R20" s="637"/>
      <c r="S20" s="637"/>
      <c r="T20" s="637"/>
      <c r="U20" s="637"/>
      <c r="V20" s="637"/>
      <c r="W20" s="637"/>
      <c r="X20" s="637"/>
    </row>
    <row r="21" spans="8:24" x14ac:dyDescent="0.2">
      <c r="H21" s="642" t="s">
        <v>85</v>
      </c>
      <c r="I21" s="637" t="s">
        <v>1261</v>
      </c>
      <c r="J21" s="637"/>
      <c r="K21" s="637"/>
      <c r="L21" s="637"/>
      <c r="M21" s="637"/>
      <c r="N21" s="637"/>
      <c r="O21" s="637"/>
      <c r="P21" s="641" t="s">
        <v>212</v>
      </c>
      <c r="Q21" s="637" t="s">
        <v>1403</v>
      </c>
      <c r="R21" s="637"/>
      <c r="S21" s="637"/>
      <c r="T21" s="637"/>
      <c r="U21" s="637"/>
      <c r="V21" s="637"/>
      <c r="W21" s="637"/>
      <c r="X21" s="637"/>
    </row>
    <row r="22" spans="8:24" x14ac:dyDescent="0.2">
      <c r="H22" s="642" t="s">
        <v>26</v>
      </c>
      <c r="I22" s="637" t="s">
        <v>1262</v>
      </c>
      <c r="J22" s="637"/>
      <c r="K22" s="637"/>
      <c r="L22" s="637"/>
      <c r="M22" s="637"/>
      <c r="N22" s="637"/>
      <c r="O22" s="637"/>
      <c r="P22" s="641" t="s">
        <v>213</v>
      </c>
      <c r="Q22" s="637" t="s">
        <v>1274</v>
      </c>
      <c r="R22" s="637"/>
      <c r="S22" s="637"/>
      <c r="T22" s="637"/>
      <c r="U22" s="637"/>
      <c r="V22" s="637"/>
      <c r="W22" s="637"/>
      <c r="X22" s="637"/>
    </row>
    <row r="23" spans="8:24" x14ac:dyDescent="0.2">
      <c r="H23" s="642" t="s">
        <v>27</v>
      </c>
      <c r="I23" s="637" t="s">
        <v>1263</v>
      </c>
      <c r="J23" s="637"/>
      <c r="K23" s="637"/>
      <c r="L23" s="637"/>
      <c r="M23" s="637"/>
      <c r="N23" s="637"/>
      <c r="O23" s="637"/>
      <c r="P23" s="637"/>
      <c r="Q23" s="637"/>
      <c r="R23" s="637"/>
      <c r="S23" s="637"/>
      <c r="T23" s="637"/>
      <c r="U23" s="637"/>
      <c r="V23" s="637"/>
      <c r="W23" s="637"/>
      <c r="X23" s="637"/>
    </row>
    <row r="24" spans="8:24" x14ac:dyDescent="0.2">
      <c r="H24" s="642" t="s">
        <v>28</v>
      </c>
      <c r="I24" s="637" t="s">
        <v>1264</v>
      </c>
      <c r="J24" s="637"/>
      <c r="K24" s="637"/>
      <c r="L24" s="637"/>
      <c r="M24" s="637"/>
      <c r="N24" s="637"/>
      <c r="O24" s="637"/>
      <c r="P24" s="638" t="s">
        <v>1275</v>
      </c>
      <c r="Q24" s="637"/>
      <c r="R24" s="637"/>
      <c r="S24" s="637"/>
      <c r="T24" s="637"/>
      <c r="U24" s="637"/>
      <c r="V24" s="637"/>
      <c r="W24" s="637"/>
      <c r="X24" s="637"/>
    </row>
    <row r="25" spans="8:24" x14ac:dyDescent="0.2">
      <c r="H25" s="642" t="s">
        <v>29</v>
      </c>
      <c r="I25" s="637" t="s">
        <v>1265</v>
      </c>
      <c r="J25" s="637"/>
      <c r="K25" s="637"/>
      <c r="L25" s="637"/>
      <c r="M25" s="637"/>
      <c r="N25" s="637"/>
      <c r="O25" s="637"/>
      <c r="P25" s="641" t="s">
        <v>298</v>
      </c>
      <c r="Q25" s="637" t="s">
        <v>354</v>
      </c>
      <c r="R25" s="637"/>
      <c r="S25" s="637"/>
      <c r="T25" s="637"/>
      <c r="U25" s="637"/>
      <c r="V25" s="637"/>
      <c r="W25" s="637"/>
      <c r="X25" s="637"/>
    </row>
    <row r="26" spans="8:24" x14ac:dyDescent="0.2">
      <c r="H26" s="642" t="s">
        <v>30</v>
      </c>
      <c r="I26" s="637" t="s">
        <v>1266</v>
      </c>
      <c r="J26" s="637"/>
      <c r="K26" s="637"/>
      <c r="L26" s="637"/>
      <c r="M26" s="637"/>
      <c r="N26" s="637"/>
      <c r="O26" s="637"/>
      <c r="P26" s="641"/>
      <c r="Q26" s="637"/>
      <c r="R26" s="637"/>
      <c r="S26" s="637"/>
      <c r="T26" s="637"/>
      <c r="U26" s="637"/>
      <c r="V26" s="637"/>
      <c r="W26" s="637"/>
      <c r="X26" s="637"/>
    </row>
    <row r="27" spans="8:24" x14ac:dyDescent="0.2">
      <c r="H27" s="642" t="s">
        <v>31</v>
      </c>
      <c r="I27" s="637" t="s">
        <v>1267</v>
      </c>
      <c r="J27" s="637"/>
      <c r="K27" s="637"/>
      <c r="L27" s="637"/>
      <c r="M27" s="637"/>
      <c r="N27" s="637"/>
      <c r="O27" s="637"/>
      <c r="P27" s="638" t="s">
        <v>1276</v>
      </c>
      <c r="Q27" s="637"/>
      <c r="R27" s="637"/>
      <c r="S27" s="637"/>
      <c r="T27" s="637"/>
      <c r="U27" s="637"/>
      <c r="V27" s="637"/>
      <c r="W27" s="637"/>
      <c r="X27" s="637"/>
    </row>
    <row r="28" spans="8:24" x14ac:dyDescent="0.2">
      <c r="H28" s="642" t="s">
        <v>32</v>
      </c>
      <c r="I28" s="637" t="s">
        <v>1268</v>
      </c>
      <c r="J28" s="637"/>
      <c r="K28" s="637"/>
      <c r="L28" s="637"/>
      <c r="M28" s="637"/>
      <c r="N28" s="637"/>
      <c r="O28" s="637"/>
      <c r="P28" s="641" t="s">
        <v>355</v>
      </c>
      <c r="Q28" s="637" t="s">
        <v>1277</v>
      </c>
      <c r="R28" s="637"/>
      <c r="S28" s="637"/>
      <c r="T28" s="637"/>
      <c r="U28" s="637"/>
      <c r="V28" s="637"/>
      <c r="W28" s="637"/>
      <c r="X28" s="637"/>
    </row>
    <row r="29" spans="8:24" x14ac:dyDescent="0.2">
      <c r="H29" s="642" t="s">
        <v>33</v>
      </c>
      <c r="I29" s="637" t="s">
        <v>1269</v>
      </c>
      <c r="J29" s="637"/>
      <c r="K29" s="637"/>
      <c r="L29" s="637"/>
      <c r="M29" s="637"/>
      <c r="N29" s="637"/>
      <c r="O29" s="637"/>
      <c r="P29" s="641" t="s">
        <v>356</v>
      </c>
      <c r="Q29" s="637" t="s">
        <v>1278</v>
      </c>
      <c r="R29" s="637"/>
      <c r="S29" s="637"/>
      <c r="T29" s="637"/>
      <c r="U29" s="637"/>
      <c r="V29" s="637"/>
      <c r="W29" s="637"/>
      <c r="X29" s="637"/>
    </row>
    <row r="30" spans="8:24" x14ac:dyDescent="0.2">
      <c r="H30" s="642" t="s">
        <v>34</v>
      </c>
      <c r="I30" s="637" t="s">
        <v>1270</v>
      </c>
      <c r="J30" s="637"/>
      <c r="K30" s="637"/>
      <c r="L30" s="637"/>
      <c r="M30" s="637"/>
      <c r="N30" s="637"/>
      <c r="O30" s="637"/>
      <c r="P30" s="637"/>
      <c r="Q30" s="637"/>
      <c r="R30" s="637"/>
      <c r="S30" s="637"/>
      <c r="T30" s="637"/>
      <c r="U30" s="637"/>
      <c r="V30" s="637"/>
      <c r="W30" s="637"/>
      <c r="X30" s="637"/>
    </row>
    <row r="31" spans="8:24" x14ac:dyDescent="0.2">
      <c r="H31" s="633"/>
    </row>
    <row r="32" spans="8:24" x14ac:dyDescent="0.2">
      <c r="H32" s="633" t="s">
        <v>1221</v>
      </c>
    </row>
    <row r="33" spans="8:24" x14ac:dyDescent="0.2">
      <c r="H33" s="643" t="s">
        <v>209</v>
      </c>
      <c r="I33" s="637"/>
      <c r="J33" s="637" t="s">
        <v>752</v>
      </c>
      <c r="K33" s="637"/>
      <c r="L33" s="637"/>
      <c r="M33" s="637"/>
      <c r="N33" s="637"/>
      <c r="O33" s="637"/>
      <c r="P33" s="643" t="s">
        <v>210</v>
      </c>
      <c r="Q33" s="637"/>
      <c r="R33" s="637" t="s">
        <v>1282</v>
      </c>
      <c r="S33" s="637"/>
      <c r="T33" s="637"/>
      <c r="U33" s="637"/>
      <c r="V33" s="637"/>
      <c r="W33" s="637"/>
      <c r="X33" s="637"/>
    </row>
    <row r="34" spans="8:24" x14ac:dyDescent="0.2">
      <c r="H34" s="643" t="s">
        <v>1710</v>
      </c>
      <c r="I34" s="637"/>
      <c r="J34" s="637" t="s">
        <v>1711</v>
      </c>
      <c r="K34" s="637"/>
      <c r="L34" s="637"/>
      <c r="M34" s="637"/>
      <c r="N34" s="637"/>
      <c r="O34" s="637"/>
      <c r="P34" s="643" t="s">
        <v>211</v>
      </c>
      <c r="Q34" s="637"/>
      <c r="R34" s="637" t="s">
        <v>1283</v>
      </c>
      <c r="S34" s="637"/>
      <c r="T34" s="637"/>
      <c r="U34" s="637"/>
      <c r="V34" s="637"/>
      <c r="W34" s="637"/>
      <c r="X34" s="637"/>
    </row>
    <row r="35" spans="8:24" x14ac:dyDescent="0.2">
      <c r="H35" s="643" t="s">
        <v>889</v>
      </c>
      <c r="I35" s="637"/>
      <c r="J35" s="637" t="s">
        <v>1279</v>
      </c>
      <c r="K35" s="637"/>
      <c r="L35" s="637"/>
      <c r="M35" s="637"/>
      <c r="N35" s="637"/>
      <c r="O35" s="637"/>
      <c r="P35" s="643" t="s">
        <v>297</v>
      </c>
      <c r="Q35" s="637"/>
      <c r="R35" s="637" t="s">
        <v>1284</v>
      </c>
      <c r="S35" s="637"/>
      <c r="T35" s="637"/>
      <c r="U35" s="637"/>
      <c r="V35" s="637"/>
      <c r="W35" s="637"/>
      <c r="X35" s="637"/>
    </row>
    <row r="36" spans="8:24" x14ac:dyDescent="0.2">
      <c r="H36" s="643" t="s">
        <v>890</v>
      </c>
      <c r="I36" s="637"/>
      <c r="J36" s="637" t="s">
        <v>1280</v>
      </c>
      <c r="K36" s="637"/>
      <c r="L36" s="637"/>
      <c r="M36" s="637"/>
      <c r="N36" s="637"/>
      <c r="O36" s="637"/>
      <c r="P36" s="637"/>
      <c r="Q36" s="637"/>
      <c r="R36" s="637"/>
      <c r="S36" s="637"/>
      <c r="T36" s="637"/>
      <c r="U36" s="637"/>
      <c r="V36" s="637"/>
      <c r="W36" s="637"/>
      <c r="X36" s="637"/>
    </row>
    <row r="37" spans="8:24" x14ac:dyDescent="0.2">
      <c r="H37" s="643"/>
      <c r="I37" s="637"/>
      <c r="J37" s="637"/>
      <c r="K37" s="637"/>
      <c r="L37" s="637"/>
      <c r="M37" s="637"/>
      <c r="N37" s="637"/>
      <c r="O37" s="637"/>
      <c r="P37" s="644" t="s">
        <v>176</v>
      </c>
      <c r="Q37" s="637"/>
      <c r="R37" s="637" t="s">
        <v>1285</v>
      </c>
      <c r="S37" s="637"/>
      <c r="T37" s="637"/>
      <c r="U37" s="637"/>
      <c r="V37" s="637"/>
      <c r="W37" s="637"/>
      <c r="X37" s="637"/>
    </row>
    <row r="38" spans="8:24" x14ac:dyDescent="0.2">
      <c r="H38" s="644" t="s">
        <v>357</v>
      </c>
      <c r="I38" s="637"/>
      <c r="J38" s="637" t="s">
        <v>1281</v>
      </c>
      <c r="K38" s="637"/>
      <c r="L38" s="637"/>
      <c r="M38" s="637"/>
      <c r="N38" s="637"/>
      <c r="O38" s="637"/>
      <c r="P38" s="644" t="s">
        <v>160</v>
      </c>
      <c r="Q38" s="637"/>
      <c r="R38" s="637" t="s">
        <v>1286</v>
      </c>
      <c r="S38" s="637"/>
      <c r="T38" s="637"/>
      <c r="U38" s="637"/>
      <c r="V38" s="637"/>
      <c r="W38" s="637"/>
      <c r="X38" s="637"/>
    </row>
    <row r="39" spans="8:24" x14ac:dyDescent="0.2">
      <c r="H39" s="643"/>
      <c r="I39" s="637"/>
      <c r="J39" s="637"/>
      <c r="K39" s="637"/>
      <c r="L39" s="637"/>
      <c r="M39" s="637"/>
      <c r="N39" s="637"/>
      <c r="O39" s="637"/>
      <c r="P39" s="644" t="s">
        <v>291</v>
      </c>
      <c r="Q39" s="637"/>
      <c r="R39" s="637" t="s">
        <v>1287</v>
      </c>
      <c r="S39" s="637"/>
      <c r="T39" s="637"/>
      <c r="U39" s="637"/>
      <c r="V39" s="637"/>
      <c r="W39" s="637"/>
      <c r="X39" s="637"/>
    </row>
    <row r="40" spans="8:24" x14ac:dyDescent="0.2">
      <c r="H40" s="633"/>
    </row>
    <row r="41" spans="8:24" x14ac:dyDescent="0.2">
      <c r="H41" s="633"/>
    </row>
    <row r="42" spans="8:24" x14ac:dyDescent="0.2">
      <c r="H42" s="633"/>
    </row>
    <row r="43" spans="8:24" x14ac:dyDescent="0.2">
      <c r="H43" s="633"/>
    </row>
    <row r="44" spans="8:24" x14ac:dyDescent="0.2">
      <c r="H44" s="633"/>
    </row>
    <row r="45" spans="8:24" x14ac:dyDescent="0.2">
      <c r="H45" s="633"/>
    </row>
    <row r="46" spans="8:24" x14ac:dyDescent="0.2">
      <c r="H46" s="633"/>
    </row>
    <row r="47" spans="8:24" x14ac:dyDescent="0.2">
      <c r="H47" s="633"/>
    </row>
    <row r="48" spans="8:24" x14ac:dyDescent="0.2">
      <c r="H48" s="633"/>
    </row>
    <row r="49" spans="8:8" x14ac:dyDescent="0.2">
      <c r="H49" s="633"/>
    </row>
    <row r="50" spans="8:8" x14ac:dyDescent="0.2">
      <c r="H50" s="633"/>
    </row>
    <row r="51" spans="8:8" x14ac:dyDescent="0.2">
      <c r="H51" s="633"/>
    </row>
    <row r="52" spans="8:8" x14ac:dyDescent="0.2">
      <c r="H52" s="633"/>
    </row>
    <row r="53" spans="8:8" x14ac:dyDescent="0.2">
      <c r="H53" s="633"/>
    </row>
    <row r="54" spans="8:8" x14ac:dyDescent="0.2">
      <c r="H54" s="633"/>
    </row>
    <row r="55" spans="8:8" x14ac:dyDescent="0.2">
      <c r="H55" s="633"/>
    </row>
    <row r="56" spans="8:8" x14ac:dyDescent="0.2">
      <c r="H56" s="633"/>
    </row>
    <row r="57" spans="8:8" x14ac:dyDescent="0.2">
      <c r="H57" s="633"/>
    </row>
    <row r="58" spans="8:8" x14ac:dyDescent="0.2">
      <c r="H58" s="633"/>
    </row>
    <row r="59" spans="8:8" x14ac:dyDescent="0.2">
      <c r="H59" s="633"/>
    </row>
    <row r="60" spans="8:8" x14ac:dyDescent="0.2">
      <c r="H60" s="633"/>
    </row>
    <row r="61" spans="8:8" x14ac:dyDescent="0.2">
      <c r="H61" s="633"/>
    </row>
    <row r="62" spans="8:8" x14ac:dyDescent="0.2">
      <c r="H62" s="633"/>
    </row>
    <row r="63" spans="8:8" x14ac:dyDescent="0.2">
      <c r="H63" s="633"/>
    </row>
    <row r="64" spans="8:8" x14ac:dyDescent="0.2">
      <c r="H64" s="633"/>
    </row>
    <row r="65" spans="8:8" x14ac:dyDescent="0.2">
      <c r="H65" s="633"/>
    </row>
    <row r="66" spans="8:8" x14ac:dyDescent="0.2">
      <c r="H66" s="633"/>
    </row>
    <row r="67" spans="8:8" x14ac:dyDescent="0.2">
      <c r="H67" s="633"/>
    </row>
    <row r="68" spans="8:8" x14ac:dyDescent="0.2">
      <c r="H68" s="633"/>
    </row>
    <row r="69" spans="8:8" x14ac:dyDescent="0.2">
      <c r="H69" s="633"/>
    </row>
    <row r="70" spans="8:8" x14ac:dyDescent="0.2">
      <c r="H70" s="633"/>
    </row>
  </sheetData>
  <sheetProtection password="D276"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EQ1162"/>
  <sheetViews>
    <sheetView topLeftCell="EP1" zoomScale="115" zoomScaleNormal="115" workbookViewId="0">
      <selection activeCell="EO1" sqref="A1:EO1048576"/>
    </sheetView>
  </sheetViews>
  <sheetFormatPr defaultColWidth="9.109375" defaultRowHeight="10.199999999999999" x14ac:dyDescent="0.2"/>
  <cols>
    <col min="1" max="1" width="0.5546875" style="19" hidden="1" customWidth="1"/>
    <col min="2" max="2" width="8.44140625" style="19" hidden="1" customWidth="1"/>
    <col min="3" max="3" width="26.109375" style="19" hidden="1" customWidth="1"/>
    <col min="4" max="11" width="8.44140625" style="19" hidden="1" customWidth="1"/>
    <col min="12" max="12" width="36.33203125" style="19" hidden="1" customWidth="1"/>
    <col min="13" max="13" width="20.6640625" style="19" hidden="1" customWidth="1"/>
    <col min="14" max="14" width="30.33203125" style="19" hidden="1" customWidth="1"/>
    <col min="15" max="15" width="8.44140625" style="49" hidden="1" customWidth="1"/>
    <col min="16" max="16" width="8.44140625" style="19" hidden="1" customWidth="1"/>
    <col min="17" max="17" width="17.6640625" style="19" hidden="1" customWidth="1"/>
    <col min="18" max="20" width="8.44140625" style="19" hidden="1" customWidth="1"/>
    <col min="21" max="21" width="28.6640625" style="19" hidden="1" customWidth="1"/>
    <col min="22" max="22" width="8.44140625" style="19" hidden="1" customWidth="1"/>
    <col min="23" max="23" width="43.5546875" style="19" hidden="1" customWidth="1"/>
    <col min="24" max="24" width="8.44140625" style="19" hidden="1" customWidth="1"/>
    <col min="25" max="25" width="12.109375" style="19" hidden="1" customWidth="1"/>
    <col min="26" max="26" width="8.44140625" style="19" hidden="1" customWidth="1"/>
    <col min="27" max="27" width="31.5546875" style="19" hidden="1" customWidth="1"/>
    <col min="28" max="36" width="8.44140625" style="19" hidden="1" customWidth="1"/>
    <col min="37" max="37" width="21" style="19" hidden="1" customWidth="1"/>
    <col min="38" max="38" width="8.44140625" style="19" hidden="1" customWidth="1"/>
    <col min="39" max="39" width="89.88671875" style="19" hidden="1" customWidth="1"/>
    <col min="40" max="40" width="8.44140625" style="19" hidden="1" customWidth="1"/>
    <col min="41" max="41" width="30.6640625" style="19" hidden="1" customWidth="1"/>
    <col min="42" max="46" width="8.44140625" style="19" hidden="1" customWidth="1"/>
    <col min="47" max="47" width="11.88671875" style="19" hidden="1" customWidth="1"/>
    <col min="48" max="50" width="8.44140625" style="19" hidden="1" customWidth="1"/>
    <col min="51" max="51" width="17.6640625" style="19" hidden="1" customWidth="1"/>
    <col min="52" max="58" width="8.44140625" style="19" hidden="1" customWidth="1"/>
    <col min="59" max="59" width="8.5546875" style="19" hidden="1" customWidth="1"/>
    <col min="60" max="62" width="8.44140625" style="19" hidden="1" customWidth="1"/>
    <col min="63" max="63" width="17.88671875" style="19" hidden="1" customWidth="1"/>
    <col min="64" max="64" width="9.33203125" style="19" hidden="1" customWidth="1"/>
    <col min="65" max="65" width="21.44140625" style="19" hidden="1" customWidth="1"/>
    <col min="66" max="66" width="8.44140625" style="19" hidden="1" customWidth="1"/>
    <col min="67" max="67" width="14" style="19" hidden="1" customWidth="1"/>
    <col min="68" max="72" width="8.44140625" style="19" hidden="1" customWidth="1"/>
    <col min="73" max="73" width="16.6640625" style="19" hidden="1" customWidth="1"/>
    <col min="74" max="74" width="8.44140625" style="19" hidden="1" customWidth="1"/>
    <col min="75" max="75" width="12.88671875" style="19" hidden="1" customWidth="1"/>
    <col min="76" max="76" width="8.44140625" style="19" hidden="1" customWidth="1"/>
    <col min="77" max="77" width="15.88671875" style="19" hidden="1" customWidth="1"/>
    <col min="78" max="78" width="8.44140625" style="19" hidden="1" customWidth="1"/>
    <col min="79" max="79" width="26.88671875" style="19" hidden="1" customWidth="1"/>
    <col min="80" max="80" width="21.33203125" style="19" hidden="1" customWidth="1"/>
    <col min="81" max="81" width="27.6640625" style="19" hidden="1" customWidth="1"/>
    <col min="82" max="84" width="8.44140625" style="19" hidden="1" customWidth="1"/>
    <col min="85" max="85" width="20.88671875" style="19" hidden="1" customWidth="1"/>
    <col min="86" max="86" width="8.44140625" style="19" hidden="1" customWidth="1"/>
    <col min="87" max="87" width="18.109375" style="19" hidden="1" customWidth="1"/>
    <col min="88" max="88" width="8.44140625" style="19" hidden="1" customWidth="1"/>
    <col min="89" max="89" width="13.33203125" style="19" hidden="1" customWidth="1"/>
    <col min="90" max="90" width="8.44140625" style="19" hidden="1" customWidth="1"/>
    <col min="91" max="91" width="25.5546875" style="19" hidden="1" customWidth="1"/>
    <col min="92" max="92" width="12.33203125" style="19" hidden="1" customWidth="1"/>
    <col min="93" max="93" width="8.44140625" style="19" hidden="1" customWidth="1"/>
    <col min="94" max="94" width="20.33203125" style="19" hidden="1" customWidth="1"/>
    <col min="95" max="95" width="11.88671875" style="19" hidden="1" customWidth="1"/>
    <col min="96" max="98" width="8.44140625" style="19" hidden="1" customWidth="1"/>
    <col min="99" max="99" width="12.44140625" style="19" hidden="1" customWidth="1"/>
    <col min="100" max="100" width="8.44140625" style="19" hidden="1" customWidth="1"/>
    <col min="101" max="101" width="14.6640625" style="19" hidden="1" customWidth="1"/>
    <col min="102" max="102" width="8.44140625" style="19" hidden="1" customWidth="1"/>
    <col min="103" max="103" width="33.44140625" style="19" hidden="1" customWidth="1"/>
    <col min="104" max="104" width="18.44140625" style="19" hidden="1" customWidth="1"/>
    <col min="105" max="105" width="11.5546875" style="19" hidden="1" customWidth="1"/>
    <col min="106" max="107" width="8.44140625" style="19" hidden="1" customWidth="1"/>
    <col min="108" max="108" width="29.88671875" style="19" hidden="1" customWidth="1"/>
    <col min="109" max="109" width="11.88671875" style="19" hidden="1" customWidth="1"/>
    <col min="110" max="110" width="8.88671875" style="19" hidden="1" customWidth="1"/>
    <col min="111" max="111" width="12.109375" style="19" hidden="1" customWidth="1"/>
    <col min="112" max="113" width="8.44140625" style="19" hidden="1" customWidth="1"/>
    <col min="114" max="114" width="18" style="19" hidden="1" customWidth="1"/>
    <col min="115" max="119" width="8.44140625" style="19" hidden="1" customWidth="1"/>
    <col min="120" max="120" width="23.5546875" style="19" hidden="1" customWidth="1"/>
    <col min="121" max="125" width="8.44140625" style="19" hidden="1" customWidth="1"/>
    <col min="126" max="126" width="26.44140625" style="19" hidden="1" customWidth="1"/>
    <col min="127" max="131" width="8.44140625" style="19" hidden="1" customWidth="1"/>
    <col min="132" max="132" width="19.6640625" style="19" hidden="1" customWidth="1"/>
    <col min="133" max="137" width="8.44140625" style="19" hidden="1" customWidth="1"/>
    <col min="138" max="138" width="32.88671875" style="19" hidden="1" customWidth="1"/>
    <col min="139" max="142" width="8.44140625" style="19" hidden="1" customWidth="1"/>
    <col min="143" max="143" width="0.109375" style="19" hidden="1" customWidth="1"/>
    <col min="144" max="144" width="8.6640625" style="19" hidden="1" customWidth="1"/>
    <col min="145" max="145" width="9.109375" style="19" hidden="1" customWidth="1"/>
    <col min="146" max="148" width="9.109375" style="19" customWidth="1"/>
    <col min="149" max="149" width="8.5546875" style="19" customWidth="1"/>
    <col min="150" max="152" width="9.109375" style="19" customWidth="1"/>
    <col min="153" max="153" width="14" style="19" customWidth="1"/>
    <col min="154" max="16384" width="9.109375" style="19"/>
  </cols>
  <sheetData>
    <row r="2" spans="2:142" x14ac:dyDescent="0.2">
      <c r="AZ2" s="49"/>
      <c r="BA2" s="49"/>
      <c r="BB2" s="49"/>
      <c r="BC2" s="530"/>
      <c r="DD2" s="19" t="s">
        <v>128</v>
      </c>
      <c r="DE2" s="19" t="s">
        <v>44</v>
      </c>
    </row>
    <row r="3" spans="2:142" x14ac:dyDescent="0.2">
      <c r="AZ3" s="49"/>
      <c r="BA3" s="49"/>
      <c r="DD3" s="109">
        <f>IF(form!N6="",1,form!N6)</f>
        <v>1</v>
      </c>
      <c r="DE3" s="109">
        <f>IF(form!N5="ні",1,1.2)</f>
        <v>1.2</v>
      </c>
      <c r="DV3" s="205"/>
    </row>
    <row r="4" spans="2:142" x14ac:dyDescent="0.2">
      <c r="CB4" s="205"/>
      <c r="CE4" s="113"/>
      <c r="CI4" s="205"/>
      <c r="DD4" s="500" t="s">
        <v>70</v>
      </c>
      <c r="DE4" s="501" t="s">
        <v>124</v>
      </c>
      <c r="DF4" s="501" t="s">
        <v>723</v>
      </c>
      <c r="DG4" s="501" t="s">
        <v>71</v>
      </c>
      <c r="DH4" s="502" t="s">
        <v>72</v>
      </c>
      <c r="DJ4" s="500" t="s">
        <v>70</v>
      </c>
      <c r="DK4" s="501" t="s">
        <v>124</v>
      </c>
      <c r="DL4" s="501" t="s">
        <v>723</v>
      </c>
      <c r="DM4" s="501" t="s">
        <v>71</v>
      </c>
      <c r="DN4" s="502" t="s">
        <v>72</v>
      </c>
      <c r="DP4" s="500" t="s">
        <v>70</v>
      </c>
      <c r="DQ4" s="501" t="s">
        <v>124</v>
      </c>
      <c r="DR4" s="501" t="s">
        <v>723</v>
      </c>
      <c r="DS4" s="501" t="s">
        <v>71</v>
      </c>
      <c r="DT4" s="502" t="s">
        <v>72</v>
      </c>
      <c r="DV4" s="500" t="s">
        <v>70</v>
      </c>
      <c r="DW4" s="501" t="s">
        <v>124</v>
      </c>
      <c r="DX4" s="501" t="s">
        <v>723</v>
      </c>
      <c r="DY4" s="501" t="s">
        <v>71</v>
      </c>
      <c r="DZ4" s="502" t="s">
        <v>72</v>
      </c>
      <c r="EB4" s="500" t="s">
        <v>70</v>
      </c>
      <c r="EC4" s="501" t="s">
        <v>124</v>
      </c>
      <c r="ED4" s="501" t="s">
        <v>723</v>
      </c>
      <c r="EE4" s="501" t="s">
        <v>71</v>
      </c>
      <c r="EF4" s="502" t="s">
        <v>72</v>
      </c>
      <c r="EH4" s="500" t="s">
        <v>70</v>
      </c>
      <c r="EI4" s="501" t="s">
        <v>124</v>
      </c>
      <c r="EJ4" s="501" t="s">
        <v>723</v>
      </c>
      <c r="EK4" s="501" t="s">
        <v>71</v>
      </c>
      <c r="EL4" s="502" t="s">
        <v>72</v>
      </c>
    </row>
    <row r="5" spans="2:142" x14ac:dyDescent="0.2">
      <c r="AK5" s="113"/>
      <c r="AL5" s="113"/>
      <c r="AM5" s="113"/>
      <c r="AN5" s="113"/>
      <c r="AO5" s="113"/>
      <c r="AP5" s="113"/>
      <c r="AQ5" s="113"/>
      <c r="CE5" s="113"/>
      <c r="CM5" s="113"/>
      <c r="CN5" s="113"/>
      <c r="CO5" s="113"/>
      <c r="DD5" s="472" t="s">
        <v>1892</v>
      </c>
      <c r="DE5" s="473">
        <v>46174</v>
      </c>
      <c r="DF5" s="473">
        <v>46266</v>
      </c>
      <c r="DG5" s="485">
        <v>0.2</v>
      </c>
      <c r="DH5" s="474"/>
      <c r="DJ5" s="472"/>
      <c r="DK5" s="473"/>
      <c r="DL5" s="473"/>
      <c r="DM5" s="485">
        <v>0</v>
      </c>
      <c r="DN5" s="474"/>
      <c r="DP5" s="472"/>
      <c r="DQ5" s="473"/>
      <c r="DR5" s="473"/>
      <c r="DS5" s="485">
        <v>0</v>
      </c>
      <c r="DT5" s="474"/>
      <c r="DV5" s="472"/>
      <c r="DW5" s="473"/>
      <c r="DX5" s="473"/>
      <c r="DY5" s="485">
        <v>0</v>
      </c>
      <c r="DZ5" s="474"/>
      <c r="EB5" s="472"/>
      <c r="EC5" s="473"/>
      <c r="ED5" s="473"/>
      <c r="EE5" s="485">
        <v>0</v>
      </c>
      <c r="EF5" s="474"/>
      <c r="EH5" s="472"/>
      <c r="EI5" s="473"/>
      <c r="EJ5" s="473"/>
      <c r="EK5" s="485">
        <v>0</v>
      </c>
      <c r="EL5" s="474"/>
    </row>
    <row r="6" spans="2:142" x14ac:dyDescent="0.2">
      <c r="G6" s="20"/>
      <c r="H6" s="20"/>
      <c r="I6" s="20"/>
      <c r="J6" s="20"/>
      <c r="K6" s="20"/>
      <c r="L6" s="113"/>
      <c r="M6" s="113"/>
      <c r="N6" s="113"/>
      <c r="O6" s="629"/>
      <c r="P6" s="88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88"/>
      <c r="AC6" s="113"/>
      <c r="AD6" s="113"/>
      <c r="AE6" s="113"/>
      <c r="AF6" s="88"/>
      <c r="AG6" s="113"/>
      <c r="AH6" s="113"/>
      <c r="AI6" s="113"/>
      <c r="AJ6" s="20"/>
      <c r="AK6" s="113"/>
      <c r="AL6" s="113"/>
      <c r="AM6" s="113"/>
      <c r="AN6" s="88"/>
      <c r="AO6" s="113"/>
      <c r="AP6" s="113"/>
      <c r="AQ6" s="113"/>
      <c r="CM6" s="113"/>
      <c r="CN6" s="113"/>
      <c r="CO6" s="113"/>
      <c r="CY6" s="205"/>
      <c r="DD6" s="472"/>
      <c r="DE6" s="473"/>
      <c r="DF6" s="473"/>
      <c r="DG6" s="485"/>
      <c r="DH6" s="477"/>
      <c r="DJ6" s="475"/>
      <c r="DK6" s="482"/>
      <c r="DL6" s="476"/>
      <c r="DM6" s="483">
        <v>0</v>
      </c>
      <c r="DN6" s="477"/>
      <c r="DP6" s="475"/>
      <c r="DQ6" s="482"/>
      <c r="DR6" s="476"/>
      <c r="DS6" s="483">
        <v>0</v>
      </c>
      <c r="DT6" s="477"/>
      <c r="DV6" s="475"/>
      <c r="DW6" s="482"/>
      <c r="DX6" s="476"/>
      <c r="DY6" s="483">
        <v>0</v>
      </c>
      <c r="DZ6" s="477"/>
      <c r="EB6" s="475"/>
      <c r="EC6" s="482"/>
      <c r="ED6" s="476"/>
      <c r="EE6" s="483">
        <v>0</v>
      </c>
      <c r="EF6" s="477"/>
      <c r="EH6" s="475"/>
      <c r="EI6" s="476"/>
      <c r="EJ6" s="476"/>
      <c r="EK6" s="483">
        <v>0</v>
      </c>
      <c r="EL6" s="477"/>
    </row>
    <row r="7" spans="2:142" x14ac:dyDescent="0.2">
      <c r="G7" s="20"/>
      <c r="H7" s="20"/>
      <c r="I7" s="20"/>
      <c r="J7" s="20"/>
      <c r="K7" s="20">
        <f>BW8</f>
        <v>0</v>
      </c>
      <c r="P7" s="20"/>
      <c r="T7" s="20"/>
      <c r="U7" s="113"/>
      <c r="V7" s="113"/>
      <c r="W7" s="113"/>
      <c r="X7" s="20"/>
      <c r="AB7" s="20"/>
      <c r="AF7" s="20"/>
      <c r="AJ7" s="20"/>
      <c r="AK7" s="113"/>
      <c r="AL7" s="113"/>
      <c r="AM7" s="113"/>
      <c r="AN7" s="88"/>
      <c r="AO7" s="113"/>
      <c r="AP7" s="113"/>
      <c r="AQ7" s="113"/>
      <c r="CM7" s="113"/>
      <c r="CN7" s="113"/>
      <c r="CO7" s="113"/>
      <c r="DD7" s="475"/>
      <c r="DE7" s="476"/>
      <c r="DF7" s="476"/>
      <c r="DG7" s="483">
        <v>0</v>
      </c>
      <c r="DH7" s="477"/>
      <c r="DJ7" s="475"/>
      <c r="DK7" s="478"/>
      <c r="DL7" s="478"/>
      <c r="DM7" s="483">
        <v>0</v>
      </c>
      <c r="DN7" s="477"/>
      <c r="DP7" s="475"/>
      <c r="DQ7" s="478"/>
      <c r="DR7" s="478"/>
      <c r="DS7" s="483">
        <v>0</v>
      </c>
      <c r="DT7" s="477"/>
      <c r="DU7" s="113"/>
      <c r="DV7" s="475"/>
      <c r="DW7" s="478"/>
      <c r="DX7" s="478"/>
      <c r="DY7" s="483">
        <v>0</v>
      </c>
      <c r="DZ7" s="477"/>
      <c r="EB7" s="475"/>
      <c r="EC7" s="478"/>
      <c r="ED7" s="478"/>
      <c r="EE7" s="483">
        <v>0</v>
      </c>
      <c r="EF7" s="477"/>
      <c r="EH7" s="475"/>
      <c r="EI7" s="478"/>
      <c r="EJ7" s="478"/>
      <c r="EK7" s="483">
        <v>0</v>
      </c>
      <c r="EL7" s="477"/>
    </row>
    <row r="8" spans="2:142" ht="21" x14ac:dyDescent="0.4">
      <c r="G8" s="20"/>
      <c r="H8" s="20"/>
      <c r="I8" s="20"/>
      <c r="J8" s="20"/>
      <c r="K8" s="20"/>
      <c r="P8" s="20"/>
      <c r="T8" s="20"/>
      <c r="X8" s="20"/>
      <c r="AB8" s="20"/>
      <c r="AF8" s="20"/>
      <c r="AJ8" s="20"/>
      <c r="AN8" s="20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752" t="s">
        <v>1887</v>
      </c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Y8" s="532"/>
      <c r="CZ8" s="532"/>
      <c r="DA8" s="532"/>
      <c r="DD8" s="475"/>
      <c r="DE8" s="476"/>
      <c r="DF8" s="476"/>
      <c r="DG8" s="483">
        <v>0</v>
      </c>
      <c r="DH8" s="477"/>
      <c r="DJ8" s="475"/>
      <c r="DK8" s="478"/>
      <c r="DL8" s="478"/>
      <c r="DM8" s="483">
        <v>0</v>
      </c>
      <c r="DN8" s="477"/>
      <c r="DP8" s="475"/>
      <c r="DQ8" s="478"/>
      <c r="DR8" s="478"/>
      <c r="DS8" s="483">
        <v>0</v>
      </c>
      <c r="DT8" s="477"/>
      <c r="DV8" s="475"/>
      <c r="DW8" s="478"/>
      <c r="DX8" s="478"/>
      <c r="DY8" s="483">
        <v>0</v>
      </c>
      <c r="DZ8" s="477"/>
      <c r="EB8" s="475"/>
      <c r="EC8" s="478"/>
      <c r="ED8" s="478"/>
      <c r="EE8" s="483">
        <v>0</v>
      </c>
      <c r="EF8" s="477"/>
      <c r="EH8" s="475"/>
      <c r="EI8" s="478"/>
      <c r="EJ8" s="478"/>
      <c r="EK8" s="483">
        <v>0</v>
      </c>
      <c r="EL8" s="477"/>
    </row>
    <row r="9" spans="2:142" x14ac:dyDescent="0.2">
      <c r="G9" s="20"/>
      <c r="H9" s="20"/>
      <c r="I9" s="20"/>
      <c r="J9" s="20"/>
      <c r="K9" s="20"/>
      <c r="P9" s="20"/>
      <c r="T9" s="20"/>
      <c r="X9" s="20"/>
      <c r="AB9" s="20"/>
      <c r="AF9" s="20"/>
      <c r="AJ9" s="20"/>
      <c r="AN9" s="20"/>
      <c r="DD9" s="479"/>
      <c r="DE9" s="512"/>
      <c r="DF9" s="512"/>
      <c r="DG9" s="484">
        <v>0</v>
      </c>
      <c r="DH9" s="481"/>
      <c r="DJ9" s="479"/>
      <c r="DK9" s="480"/>
      <c r="DL9" s="480"/>
      <c r="DM9" s="484">
        <v>0</v>
      </c>
      <c r="DN9" s="481"/>
      <c r="DP9" s="479"/>
      <c r="DQ9" s="480"/>
      <c r="DR9" s="480"/>
      <c r="DS9" s="484">
        <v>0</v>
      </c>
      <c r="DT9" s="481"/>
      <c r="DV9" s="479"/>
      <c r="DW9" s="480"/>
      <c r="DX9" s="480"/>
      <c r="DY9" s="484">
        <v>0</v>
      </c>
      <c r="DZ9" s="481"/>
      <c r="EB9" s="479"/>
      <c r="EC9" s="480"/>
      <c r="ED9" s="480"/>
      <c r="EE9" s="484">
        <v>0</v>
      </c>
      <c r="EF9" s="481"/>
      <c r="EH9" s="479"/>
      <c r="EI9" s="480"/>
      <c r="EJ9" s="480"/>
      <c r="EK9" s="484">
        <v>0</v>
      </c>
      <c r="EL9" s="481"/>
    </row>
    <row r="10" spans="2:142" ht="3.75" customHeight="1" thickBot="1" x14ac:dyDescent="0.3">
      <c r="C10" s="31" t="s">
        <v>120</v>
      </c>
      <c r="G10" s="20"/>
      <c r="H10" s="20"/>
      <c r="I10" s="20"/>
      <c r="J10" s="20"/>
      <c r="K10" s="20"/>
      <c r="L10" s="35" t="s">
        <v>68</v>
      </c>
      <c r="M10" s="21"/>
      <c r="N10" s="21"/>
      <c r="O10" s="401"/>
      <c r="P10" s="20"/>
      <c r="Q10" s="35" t="s">
        <v>69</v>
      </c>
      <c r="R10" s="21"/>
      <c r="S10" s="21"/>
      <c r="T10" s="20"/>
      <c r="U10" s="35" t="s">
        <v>857</v>
      </c>
      <c r="V10" s="21"/>
      <c r="W10" s="21"/>
      <c r="X10" s="20"/>
      <c r="Y10" s="35" t="s">
        <v>188</v>
      </c>
      <c r="Z10" s="21"/>
      <c r="AA10" s="21"/>
      <c r="AB10" s="20"/>
      <c r="AC10" s="35" t="s">
        <v>75</v>
      </c>
      <c r="AD10" s="21"/>
      <c r="AE10" s="21"/>
      <c r="AF10" s="20"/>
      <c r="AG10" s="35" t="s">
        <v>77</v>
      </c>
      <c r="AH10" s="21"/>
      <c r="AI10" s="21"/>
      <c r="AJ10" s="20"/>
      <c r="AK10" s="35" t="s">
        <v>136</v>
      </c>
      <c r="AL10" s="21"/>
      <c r="AM10" s="21"/>
      <c r="AN10" s="20"/>
      <c r="AO10" s="35" t="s">
        <v>90</v>
      </c>
      <c r="AP10" s="21"/>
      <c r="AQ10" s="21"/>
      <c r="AU10" s="35" t="s">
        <v>67</v>
      </c>
      <c r="AV10" s="21"/>
      <c r="AW10" s="21"/>
      <c r="AY10" s="35" t="s">
        <v>41</v>
      </c>
      <c r="AZ10" s="21"/>
      <c r="BA10" s="39"/>
      <c r="BB10" s="113"/>
      <c r="BC10" s="35" t="s">
        <v>98</v>
      </c>
      <c r="BD10" s="21"/>
      <c r="BE10" s="39"/>
      <c r="BG10" s="35" t="s">
        <v>38</v>
      </c>
      <c r="BH10" s="21"/>
      <c r="BI10" s="39"/>
      <c r="BK10" s="35" t="s">
        <v>1658</v>
      </c>
      <c r="BL10" s="21"/>
      <c r="BM10" s="39"/>
      <c r="BO10" s="35" t="s">
        <v>189</v>
      </c>
      <c r="BP10" s="21"/>
      <c r="BQ10" s="39"/>
      <c r="BS10" s="35" t="s">
        <v>39</v>
      </c>
      <c r="BT10" s="21"/>
      <c r="BU10" s="39"/>
      <c r="BW10" s="35" t="s">
        <v>40</v>
      </c>
      <c r="BX10" s="21"/>
      <c r="BY10" s="39"/>
      <c r="CA10" s="35" t="s">
        <v>190</v>
      </c>
      <c r="CB10" s="21"/>
      <c r="CC10" s="39"/>
      <c r="CE10" s="35" t="s">
        <v>87</v>
      </c>
      <c r="CF10" s="21"/>
      <c r="CG10" s="39"/>
      <c r="CI10" s="35" t="s">
        <v>42</v>
      </c>
      <c r="CJ10" s="21"/>
      <c r="CK10" s="39"/>
      <c r="CM10" s="197" t="s">
        <v>245</v>
      </c>
      <c r="CN10" s="21"/>
      <c r="CO10" s="39"/>
      <c r="CQ10" s="197" t="s">
        <v>247</v>
      </c>
      <c r="CR10" s="21"/>
      <c r="CS10" s="39"/>
      <c r="CU10" s="197" t="s">
        <v>248</v>
      </c>
      <c r="CV10" s="21"/>
      <c r="CW10" s="39"/>
      <c r="CY10" s="197" t="s">
        <v>260</v>
      </c>
      <c r="CZ10" s="21"/>
      <c r="DA10" s="39"/>
      <c r="DD10" s="94" t="s">
        <v>125</v>
      </c>
      <c r="DE10" s="804">
        <f ca="1">NOW()</f>
        <v>46171.671392939817</v>
      </c>
      <c r="DF10" s="804"/>
      <c r="DG10" s="805"/>
      <c r="DH10" s="385"/>
      <c r="DI10" s="113"/>
      <c r="DJ10" s="94" t="s">
        <v>182</v>
      </c>
      <c r="DK10" s="804">
        <f ca="1">NOW()</f>
        <v>46171.671392939817</v>
      </c>
      <c r="DL10" s="804"/>
      <c r="DM10" s="805"/>
      <c r="DN10" s="385"/>
      <c r="DO10" s="113"/>
      <c r="DP10" s="94" t="s">
        <v>183</v>
      </c>
      <c r="DQ10" s="804">
        <f ca="1">NOW()</f>
        <v>46171.671392939817</v>
      </c>
      <c r="DR10" s="804"/>
      <c r="DS10" s="805"/>
      <c r="DT10" s="385"/>
      <c r="DU10" s="113"/>
      <c r="DV10" s="94" t="s">
        <v>180</v>
      </c>
      <c r="DW10" s="804">
        <f ca="1">NOW()</f>
        <v>46171.671392939817</v>
      </c>
      <c r="DX10" s="804"/>
      <c r="DY10" s="805"/>
      <c r="DZ10" s="385"/>
      <c r="EA10" s="113"/>
      <c r="EB10" s="94" t="s">
        <v>272</v>
      </c>
      <c r="EC10" s="804">
        <f ca="1">NOW()</f>
        <v>46171.671392939817</v>
      </c>
      <c r="ED10" s="804"/>
      <c r="EE10" s="805"/>
      <c r="EF10" s="98"/>
      <c r="EG10" s="157"/>
      <c r="EH10" s="94" t="s">
        <v>1545</v>
      </c>
      <c r="EI10" s="804">
        <f ca="1">NOW()</f>
        <v>46171.671392939817</v>
      </c>
      <c r="EJ10" s="804"/>
      <c r="EK10" s="805"/>
      <c r="EL10" s="98"/>
    </row>
    <row r="11" spans="2:142" ht="10.8" hidden="1" thickBot="1" x14ac:dyDescent="0.25">
      <c r="B11" s="24"/>
      <c r="C11" s="25"/>
      <c r="D11" s="25"/>
      <c r="E11" s="26"/>
      <c r="G11" s="20"/>
      <c r="H11" s="20"/>
      <c r="I11" s="20"/>
      <c r="J11" s="20"/>
      <c r="K11" s="20"/>
      <c r="L11" s="38" t="s">
        <v>46</v>
      </c>
      <c r="M11" s="63" t="s">
        <v>201</v>
      </c>
      <c r="N11" s="64" t="s">
        <v>45</v>
      </c>
      <c r="O11" s="400" t="s">
        <v>194</v>
      </c>
      <c r="P11" s="20"/>
      <c r="Q11" s="38" t="s">
        <v>46</v>
      </c>
      <c r="R11" s="63" t="s">
        <v>201</v>
      </c>
      <c r="S11" s="64" t="s">
        <v>45</v>
      </c>
      <c r="T11" s="20"/>
      <c r="U11" s="38" t="s">
        <v>919</v>
      </c>
      <c r="V11" s="63" t="s">
        <v>201</v>
      </c>
      <c r="W11" s="64" t="s">
        <v>45</v>
      </c>
      <c r="X11" s="20"/>
      <c r="Y11" s="38" t="s">
        <v>74</v>
      </c>
      <c r="Z11" s="63" t="s">
        <v>201</v>
      </c>
      <c r="AA11" s="64" t="s">
        <v>45</v>
      </c>
      <c r="AB11" s="20"/>
      <c r="AC11" s="38" t="s">
        <v>75</v>
      </c>
      <c r="AD11" s="63" t="s">
        <v>201</v>
      </c>
      <c r="AE11" s="64" t="s">
        <v>45</v>
      </c>
      <c r="AF11" s="20"/>
      <c r="AG11" s="38" t="s">
        <v>167</v>
      </c>
      <c r="AH11" s="63" t="s">
        <v>201</v>
      </c>
      <c r="AI11" s="64" t="s">
        <v>45</v>
      </c>
      <c r="AJ11" s="20"/>
      <c r="AK11" s="38" t="s">
        <v>136</v>
      </c>
      <c r="AL11" s="63" t="s">
        <v>201</v>
      </c>
      <c r="AM11" s="64" t="s">
        <v>45</v>
      </c>
      <c r="AN11" s="20"/>
      <c r="AO11" s="38" t="s">
        <v>136</v>
      </c>
      <c r="AP11" s="63" t="s">
        <v>201</v>
      </c>
      <c r="AQ11" s="64" t="s">
        <v>45</v>
      </c>
      <c r="AU11" s="38" t="s">
        <v>68</v>
      </c>
      <c r="AV11" s="63" t="s">
        <v>96</v>
      </c>
      <c r="AW11" s="64" t="s">
        <v>91</v>
      </c>
      <c r="AY11" s="38" t="s">
        <v>93</v>
      </c>
      <c r="AZ11" s="38" t="s">
        <v>94</v>
      </c>
      <c r="BA11" s="64" t="s">
        <v>91</v>
      </c>
      <c r="BB11" s="113"/>
      <c r="BC11" s="38" t="s">
        <v>94</v>
      </c>
      <c r="BD11" s="38" t="s">
        <v>187</v>
      </c>
      <c r="BE11" s="64" t="s">
        <v>91</v>
      </c>
      <c r="BG11" s="38" t="s">
        <v>187</v>
      </c>
      <c r="BH11" s="38" t="s">
        <v>857</v>
      </c>
      <c r="BI11" s="64" t="s">
        <v>91</v>
      </c>
      <c r="BK11" s="38" t="s">
        <v>68</v>
      </c>
      <c r="BL11" s="38" t="s">
        <v>188</v>
      </c>
      <c r="BM11" s="64" t="s">
        <v>91</v>
      </c>
      <c r="BO11" s="38" t="s">
        <v>68</v>
      </c>
      <c r="BP11" s="38" t="s">
        <v>188</v>
      </c>
      <c r="BQ11" s="64" t="s">
        <v>91</v>
      </c>
      <c r="BS11" s="38" t="s">
        <v>93</v>
      </c>
      <c r="BT11" s="38" t="s">
        <v>95</v>
      </c>
      <c r="BU11" s="64" t="s">
        <v>91</v>
      </c>
      <c r="BW11" s="38" t="s">
        <v>93</v>
      </c>
      <c r="BX11" s="38" t="s">
        <v>167</v>
      </c>
      <c r="BY11" s="64" t="s">
        <v>91</v>
      </c>
      <c r="CA11" s="38" t="s">
        <v>88</v>
      </c>
      <c r="CB11" s="38" t="s">
        <v>191</v>
      </c>
      <c r="CC11" s="64" t="s">
        <v>91</v>
      </c>
      <c r="CE11" s="38" t="s">
        <v>68</v>
      </c>
      <c r="CF11" s="38" t="s">
        <v>89</v>
      </c>
      <c r="CG11" s="64" t="s">
        <v>91</v>
      </c>
      <c r="CI11" s="38" t="s">
        <v>136</v>
      </c>
      <c r="CJ11" s="38" t="s">
        <v>90</v>
      </c>
      <c r="CK11" s="64" t="s">
        <v>91</v>
      </c>
      <c r="CM11" s="63" t="s">
        <v>68</v>
      </c>
      <c r="CN11" s="63" t="s">
        <v>246</v>
      </c>
      <c r="CO11" s="64" t="s">
        <v>91</v>
      </c>
      <c r="CQ11" s="63" t="s">
        <v>246</v>
      </c>
      <c r="CR11" s="63" t="s">
        <v>69</v>
      </c>
      <c r="CS11" s="64" t="s">
        <v>91</v>
      </c>
      <c r="CU11" s="63" t="s">
        <v>246</v>
      </c>
      <c r="CV11" s="63" t="s">
        <v>249</v>
      </c>
      <c r="CW11" s="64" t="s">
        <v>91</v>
      </c>
      <c r="CY11" s="63" t="s">
        <v>261</v>
      </c>
      <c r="CZ11" s="63" t="s">
        <v>254</v>
      </c>
      <c r="DA11" s="64" t="s">
        <v>91</v>
      </c>
      <c r="DD11" s="747" t="s">
        <v>46</v>
      </c>
      <c r="DE11" s="748" t="s">
        <v>122</v>
      </c>
      <c r="DF11" s="749" t="s">
        <v>14</v>
      </c>
      <c r="DG11" s="750" t="s">
        <v>123</v>
      </c>
      <c r="DH11" s="748" t="s">
        <v>175</v>
      </c>
      <c r="DJ11" s="38" t="s">
        <v>73</v>
      </c>
      <c r="DK11" s="96" t="s">
        <v>122</v>
      </c>
      <c r="DL11" s="110" t="s">
        <v>14</v>
      </c>
      <c r="DM11" s="22" t="s">
        <v>123</v>
      </c>
      <c r="DN11" s="96" t="s">
        <v>175</v>
      </c>
      <c r="DP11" s="38" t="s">
        <v>181</v>
      </c>
      <c r="DQ11" s="96" t="s">
        <v>122</v>
      </c>
      <c r="DR11" s="110" t="s">
        <v>14</v>
      </c>
      <c r="DS11" s="22" t="s">
        <v>123</v>
      </c>
      <c r="DT11" s="96" t="s">
        <v>175</v>
      </c>
      <c r="DU11" s="20"/>
      <c r="DV11" s="38" t="s">
        <v>286</v>
      </c>
      <c r="DW11" s="96" t="s">
        <v>122</v>
      </c>
      <c r="DX11" s="110" t="s">
        <v>14</v>
      </c>
      <c r="DY11" s="22" t="s">
        <v>123</v>
      </c>
      <c r="DZ11" s="96" t="s">
        <v>175</v>
      </c>
      <c r="EB11" s="38" t="s">
        <v>273</v>
      </c>
      <c r="EC11" s="96" t="s">
        <v>122</v>
      </c>
      <c r="ED11" s="110" t="s">
        <v>14</v>
      </c>
      <c r="EE11" s="22" t="s">
        <v>123</v>
      </c>
      <c r="EF11" s="96" t="s">
        <v>175</v>
      </c>
      <c r="EG11" s="157"/>
      <c r="EH11" s="38" t="s">
        <v>127</v>
      </c>
      <c r="EI11" s="96" t="s">
        <v>122</v>
      </c>
      <c r="EJ11" s="110" t="s">
        <v>14</v>
      </c>
      <c r="EK11" s="22" t="s">
        <v>123</v>
      </c>
      <c r="EL11" s="96" t="s">
        <v>175</v>
      </c>
    </row>
    <row r="12" spans="2:142" x14ac:dyDescent="0.2">
      <c r="B12" s="29"/>
      <c r="C12" s="27" t="s">
        <v>104</v>
      </c>
      <c r="D12" s="32" t="s">
        <v>194</v>
      </c>
      <c r="E12" s="28"/>
      <c r="G12" s="20"/>
      <c r="H12" s="20"/>
      <c r="I12" s="20"/>
      <c r="J12" s="20"/>
      <c r="K12" s="20"/>
      <c r="L12" s="45" t="s">
        <v>373</v>
      </c>
      <c r="M12" s="44" t="s">
        <v>374</v>
      </c>
      <c r="N12" s="85" t="s">
        <v>729</v>
      </c>
      <c r="O12" s="403" t="s">
        <v>195</v>
      </c>
      <c r="Q12" s="45" t="s">
        <v>373</v>
      </c>
      <c r="R12" s="89" t="s">
        <v>54</v>
      </c>
      <c r="S12" s="85" t="s">
        <v>277</v>
      </c>
      <c r="T12" s="20"/>
      <c r="U12" s="135" t="s">
        <v>1013</v>
      </c>
      <c r="V12" s="143" t="s">
        <v>81</v>
      </c>
      <c r="W12" s="151" t="s">
        <v>789</v>
      </c>
      <c r="X12" s="20"/>
      <c r="Y12" s="135"/>
      <c r="Z12" s="470"/>
      <c r="AA12" s="151"/>
      <c r="AB12" s="20"/>
      <c r="AC12" s="84" t="s">
        <v>471</v>
      </c>
      <c r="AD12" s="89" t="s">
        <v>61</v>
      </c>
      <c r="AE12" s="85" t="s">
        <v>204</v>
      </c>
      <c r="AF12" s="20"/>
      <c r="AG12" s="84" t="s">
        <v>929</v>
      </c>
      <c r="AH12" s="89" t="s">
        <v>62</v>
      </c>
      <c r="AI12" s="85" t="s">
        <v>817</v>
      </c>
      <c r="AJ12" s="20"/>
      <c r="AK12" s="153"/>
      <c r="AL12" s="389"/>
      <c r="AM12" s="390"/>
      <c r="AN12" s="20"/>
      <c r="AO12" s="84"/>
      <c r="AP12" s="89"/>
      <c r="AQ12" s="85"/>
      <c r="AU12" s="125" t="s">
        <v>473</v>
      </c>
      <c r="AV12" s="142" t="s">
        <v>164</v>
      </c>
      <c r="AW12" s="127" t="str">
        <f t="shared" ref="AW12:AW25" si="0">CONCATENATE(AU12,".",AV12)</f>
        <v>ДП TANGO.1</v>
      </c>
      <c r="AY12" s="405" t="s">
        <v>373</v>
      </c>
      <c r="AZ12" s="132" t="s">
        <v>302</v>
      </c>
      <c r="BA12" s="130" t="str">
        <f t="shared" ref="BA12:BA152" si="1">CONCATENATE(AY12,".",AZ12)</f>
        <v>ДП TANGO.1.фальц</v>
      </c>
      <c r="BB12" s="113"/>
      <c r="BC12" s="125" t="s">
        <v>302</v>
      </c>
      <c r="BD12" s="142" t="s">
        <v>1014</v>
      </c>
      <c r="BE12" s="127" t="str">
        <f>CONCATENATE(BC12,".",BD12)</f>
        <v>фальц.робоча</v>
      </c>
      <c r="BF12" s="113"/>
      <c r="BG12" s="220" t="s">
        <v>1014</v>
      </c>
      <c r="BH12" s="126" t="s">
        <v>99</v>
      </c>
      <c r="BI12" s="130" t="str">
        <f t="shared" ref="BI12:BI22" si="2">CONCATENATE(BG12,".",BH12)</f>
        <v>робоча.60</v>
      </c>
      <c r="BK12" s="36" t="s">
        <v>473</v>
      </c>
      <c r="BL12" s="52" t="s">
        <v>482</v>
      </c>
      <c r="BM12" s="66" t="str">
        <f t="shared" ref="BM12:BM33" si="3">CONCATENATE(BK12,".",BL12)</f>
        <v>ДП TANGO.ECO-Cell</v>
      </c>
      <c r="BO12" s="236"/>
      <c r="BP12" s="661"/>
      <c r="BQ12" s="133"/>
      <c r="BS12" s="662" t="s">
        <v>373</v>
      </c>
      <c r="BT12" s="663" t="s">
        <v>471</v>
      </c>
      <c r="BU12" s="65" t="str">
        <f t="shared" ref="BU12:BU65" si="4">CONCATENATE(BS12,".",BT12)</f>
        <v>ДП TANGO.1.Стандарт</v>
      </c>
      <c r="BW12" s="665" t="s">
        <v>373</v>
      </c>
      <c r="BX12" s="666" t="s">
        <v>929</v>
      </c>
      <c r="BY12" s="65" t="str">
        <f>CONCATENATE(BW12,".",BX12)</f>
        <v>ДП TANGO.1.(ні)</v>
      </c>
      <c r="CA12" s="220" t="s">
        <v>1015</v>
      </c>
      <c r="CB12" s="129" t="s">
        <v>929</v>
      </c>
      <c r="CC12" s="130" t="str">
        <f t="shared" ref="CC12:CC23" si="5">CONCATENATE(CA12,".",CB12)</f>
        <v>ДП TANGO.фальц.робоча.(ні)</v>
      </c>
      <c r="CE12" s="217" t="s">
        <v>1015</v>
      </c>
      <c r="CF12" s="129"/>
      <c r="CG12" s="130" t="str">
        <f t="shared" ref="CG12:CG19" si="6">CONCATENATE(CE12,".",CF12)</f>
        <v>ДП TANGO.фальц.робоча.</v>
      </c>
      <c r="CI12" s="55" t="s">
        <v>929</v>
      </c>
      <c r="CJ12" s="50" t="s">
        <v>929</v>
      </c>
      <c r="CK12" s="65" t="str">
        <f>CONCATENATE(CI12,".",CJ12)</f>
        <v>(ні).(ні)</v>
      </c>
      <c r="CM12" s="128" t="s">
        <v>1015</v>
      </c>
      <c r="CN12" s="129" t="s">
        <v>366</v>
      </c>
      <c r="CO12" s="130" t="str">
        <f>CONCATENATE(CM12,".",CN12)</f>
        <v>ДП TANGO.фальц.робоча.КД Classic</v>
      </c>
      <c r="CQ12" s="41" t="s">
        <v>366</v>
      </c>
      <c r="CR12" s="43" t="s">
        <v>164</v>
      </c>
      <c r="CS12" s="66" t="str">
        <f t="shared" ref="CS12:CS22" si="7">CONCATENATE(CQ12,".",CR12)</f>
        <v>КД Classic.1</v>
      </c>
      <c r="CU12" s="153" t="s">
        <v>366</v>
      </c>
      <c r="CV12" s="200" t="s">
        <v>929</v>
      </c>
      <c r="CW12" s="133" t="str">
        <f>CONCATENATE(CU12,".",CV12)</f>
        <v>КД Classic.(ні)</v>
      </c>
      <c r="CY12" s="153" t="s">
        <v>366</v>
      </c>
      <c r="CZ12" s="200" t="s">
        <v>366</v>
      </c>
      <c r="DA12" s="133" t="s">
        <v>262</v>
      </c>
      <c r="DD12" s="157" t="s">
        <v>493</v>
      </c>
      <c r="DE12" s="158">
        <v>5190</v>
      </c>
      <c r="DF12" s="751">
        <f t="shared" ref="DF12:DF19" si="8">ROUND(((DE12-(DE12/6))/$DD$3)*$DE$3,2)</f>
        <v>5190</v>
      </c>
      <c r="DG12" s="491"/>
      <c r="DH12" s="492">
        <f t="shared" ref="DH12:DH19" si="9">IF(DG12="",DF12,
IF(AND($DE$10&gt;=VLOOKUP(DG12,$DD$5:$DH$9,2,0),$DE$10&lt;=VLOOKUP(DG12,$DD$5:$DH$9,3,0)),
(DF12*(1-VLOOKUP(DG12,$DD$5:$DH$9,4,0))),
DF12))</f>
        <v>5190</v>
      </c>
      <c r="DJ12" s="665" t="s">
        <v>578</v>
      </c>
      <c r="DK12" s="705">
        <v>0</v>
      </c>
      <c r="DL12" s="706">
        <f t="shared" ref="DL12:DL21" si="10">ROUND(((DK12-(DK12/6))/$DD$3)*$DE$3,2)</f>
        <v>0</v>
      </c>
      <c r="DM12" s="707"/>
      <c r="DN12" s="708">
        <f t="shared" ref="DN12:DN19" si="11">IF(DM12="",DL12,
IF(AND($DK$10&gt;=VLOOKUP(DM12,$DJ$5:$DN$9,2,0),$DK$10&lt;=VLOOKUP(DM12,$DJ$5:$DN$9,3,0)),
(DL12*(1-VLOOKUP(DM12,$DJ$5:$DN$9,4,0))),
DL12))</f>
        <v>0</v>
      </c>
      <c r="DP12" s="665" t="s">
        <v>930</v>
      </c>
      <c r="DQ12" s="705">
        <v>0</v>
      </c>
      <c r="DR12" s="706">
        <f>ROUND(((DQ12-(DQ12/6))/$DD$3)*$DE$3,2)</f>
        <v>0</v>
      </c>
      <c r="DS12" s="707"/>
      <c r="DT12" s="708">
        <f>IF(DS12="",DR12,
IF(AND($DQ$10&gt;=VLOOKUP(DS12,$DP$5:$DT$9,2,0),$DQ$10&lt;=VLOOKUP(DS12,$DP$5:$DT$9,3,0)),
(DR12*(1-VLOOKUP(DS12,$DP$5:$DT$9,4,0))),
DR12))</f>
        <v>0</v>
      </c>
      <c r="DU12" s="158"/>
      <c r="DV12" s="56" t="s">
        <v>931</v>
      </c>
      <c r="DW12" s="97">
        <v>0</v>
      </c>
      <c r="DX12" s="388">
        <f t="shared" ref="DX12:DX21" si="12">ROUND(((DW12-(DW12/6))/$DD$3)*$DE$3,2)</f>
        <v>0</v>
      </c>
      <c r="DY12" s="487"/>
      <c r="DZ12" s="486">
        <f t="shared" ref="DZ12:DZ21" si="13">IF(DY12="",DX12,
IF(AND($DW$10&gt;=VLOOKUP(DY12,$DV$5:$DZ$9,2,0),$DW$10&lt;=VLOOKUP(DY12,$DV$5:$DZ$9,3,0)),
(DX12*(1-VLOOKUP(DY12,$DV$5:$DZ$9,4,0))),
DX12))</f>
        <v>0</v>
      </c>
      <c r="EB12" s="157" t="s">
        <v>655</v>
      </c>
      <c r="EC12" s="158">
        <v>0</v>
      </c>
      <c r="ED12" s="490">
        <f t="shared" ref="ED12:ED34" si="14">ROUND(((EC12-(EC12/6))/$DD$3)*$DE$3,2)</f>
        <v>0</v>
      </c>
      <c r="EE12" s="491"/>
      <c r="EF12" s="497">
        <f t="shared" ref="EF12:EF41" si="15">IF(EE12="",ED12,
IF(AND($EC$10&gt;=VLOOKUP(EE12,$EB$5:$EF$9,2,0),$EC$10&lt;=VLOOKUP(EE12,$EB$5:$EF$9,3,0)),
(ED12*(1-VLOOKUP(EE12,$EB$5:$EF$9,4,0))),
ED12))</f>
        <v>0</v>
      </c>
      <c r="EG12" s="157"/>
      <c r="EH12" s="157" t="s">
        <v>1051</v>
      </c>
      <c r="EI12" s="158">
        <v>0</v>
      </c>
      <c r="EJ12" s="490">
        <f>ROUND(((EI12-(EI12/6))/$DD$3)*$DE$3,2)</f>
        <v>0</v>
      </c>
      <c r="EK12" s="491"/>
      <c r="EL12" s="492">
        <f>IF(EK12="",EJ12,
IF(AND($EI$10&gt;=VLOOKUP(EK12,$EH$5:$EL$9,2,0),$EI$10&lt;=VLOOKUP(EK12,$EH$5:$EL$9,3,0)),
(EJ12*(1-VLOOKUP(EK12,$EH$5:$EL$9,4,0))),
EJ12))</f>
        <v>0</v>
      </c>
    </row>
    <row r="13" spans="2:142" x14ac:dyDescent="0.2">
      <c r="B13" s="29"/>
      <c r="C13" s="392" t="s">
        <v>1773</v>
      </c>
      <c r="D13" s="395" t="s">
        <v>195</v>
      </c>
      <c r="E13" s="28"/>
      <c r="G13" s="20"/>
      <c r="H13" s="20"/>
      <c r="I13" s="20"/>
      <c r="J13" s="20"/>
      <c r="K13" s="20"/>
      <c r="L13" s="45" t="s">
        <v>375</v>
      </c>
      <c r="M13" s="44" t="s">
        <v>374</v>
      </c>
      <c r="N13" s="85" t="s">
        <v>729</v>
      </c>
      <c r="O13" s="403" t="s">
        <v>195</v>
      </c>
      <c r="Q13" s="45" t="s">
        <v>375</v>
      </c>
      <c r="R13" s="89" t="s">
        <v>55</v>
      </c>
      <c r="S13" s="85" t="s">
        <v>278</v>
      </c>
      <c r="T13" s="20"/>
      <c r="U13" s="135" t="s">
        <v>1016</v>
      </c>
      <c r="V13" s="143" t="s">
        <v>82</v>
      </c>
      <c r="W13" s="151" t="s">
        <v>790</v>
      </c>
      <c r="X13" s="20"/>
      <c r="Y13" s="136" t="s">
        <v>126</v>
      </c>
      <c r="Z13" s="653">
        <v>116</v>
      </c>
      <c r="AA13" s="152" t="s">
        <v>809</v>
      </c>
      <c r="AB13" s="20"/>
      <c r="AC13" s="41"/>
      <c r="AD13" s="89"/>
      <c r="AE13" s="85"/>
      <c r="AF13" s="20"/>
      <c r="AG13" s="41" t="s">
        <v>139</v>
      </c>
      <c r="AH13" s="89" t="s">
        <v>472</v>
      </c>
      <c r="AI13" s="85" t="s">
        <v>816</v>
      </c>
      <c r="AJ13" s="20"/>
      <c r="AK13" s="541" t="s">
        <v>328</v>
      </c>
      <c r="AL13" s="540"/>
      <c r="AM13" s="542"/>
      <c r="AN13" s="20"/>
      <c r="AO13" s="556" t="s">
        <v>328</v>
      </c>
      <c r="AP13" s="557"/>
      <c r="AQ13" s="558"/>
      <c r="AU13" s="128" t="s">
        <v>473</v>
      </c>
      <c r="AV13" s="140" t="s">
        <v>165</v>
      </c>
      <c r="AW13" s="130" t="str">
        <f t="shared" si="0"/>
        <v>ДП TANGO.2</v>
      </c>
      <c r="AY13" s="209" t="s">
        <v>373</v>
      </c>
      <c r="AZ13" s="58" t="s">
        <v>303</v>
      </c>
      <c r="BA13" s="131" t="str">
        <f t="shared" si="1"/>
        <v>ДП TANGO.1.купе</v>
      </c>
      <c r="BB13" s="113"/>
      <c r="BC13" s="40" t="s">
        <v>302</v>
      </c>
      <c r="BD13" s="141" t="s">
        <v>1017</v>
      </c>
      <c r="BE13" s="131" t="str">
        <f>CONCATENATE(BC13,".",BD13)</f>
        <v>фальц.неробоча</v>
      </c>
      <c r="BF13" s="113"/>
      <c r="BG13" s="220" t="s">
        <v>1014</v>
      </c>
      <c r="BH13" s="129" t="s">
        <v>100</v>
      </c>
      <c r="BI13" s="130" t="str">
        <f t="shared" si="2"/>
        <v>робоча.70</v>
      </c>
      <c r="BK13" s="36" t="s">
        <v>473</v>
      </c>
      <c r="BL13" s="52" t="s">
        <v>1422</v>
      </c>
      <c r="BM13" s="66" t="str">
        <f t="shared" si="3"/>
        <v>ДП TANGO.ECO-Resist</v>
      </c>
      <c r="BO13" s="138" t="s">
        <v>482</v>
      </c>
      <c r="BP13" s="20" t="s">
        <v>126</v>
      </c>
      <c r="BQ13" s="130" t="str">
        <f t="shared" ref="BQ13:BQ24" si="16">CONCATENATE(BO13,".",BP13)</f>
        <v>ECO-Cell.116 Дуб британ</v>
      </c>
      <c r="BS13" s="36" t="s">
        <v>375</v>
      </c>
      <c r="BT13" s="44" t="s">
        <v>471</v>
      </c>
      <c r="BU13" s="66" t="str">
        <f t="shared" si="4"/>
        <v>ДП TANGO.2.Стандарт</v>
      </c>
      <c r="BW13" s="56" t="s">
        <v>375</v>
      </c>
      <c r="BX13" s="57" t="s">
        <v>139</v>
      </c>
      <c r="BY13" s="66" t="str">
        <f>CONCATENATE(BW13,".",BX13)</f>
        <v>ДП TANGO.2.Сатин</v>
      </c>
      <c r="CA13" s="220" t="s">
        <v>1015</v>
      </c>
      <c r="CB13" s="19" t="s">
        <v>1340</v>
      </c>
      <c r="CC13" s="130" t="str">
        <f t="shared" si="5"/>
        <v>ДП TANGO.фальц.робоча.Stand цл Лів +3завіс</v>
      </c>
      <c r="CE13" s="220" t="s">
        <v>1015</v>
      </c>
      <c r="CF13" s="129" t="s">
        <v>953</v>
      </c>
      <c r="CG13" s="130" t="str">
        <f t="shared" si="6"/>
        <v>ДП TANGO.фальц.робоча.ВВ</v>
      </c>
      <c r="CI13" s="213"/>
      <c r="CJ13" s="207"/>
      <c r="CK13" s="208"/>
      <c r="CM13" s="40" t="s">
        <v>1015</v>
      </c>
      <c r="CN13" s="58" t="s">
        <v>367</v>
      </c>
      <c r="CO13" s="131" t="str">
        <f>CONCATENATE(CM13,".",CN13)</f>
        <v>ДП TANGO.фальц.робоча.КД ECO-FIT</v>
      </c>
      <c r="CQ13" s="134" t="s">
        <v>367</v>
      </c>
      <c r="CR13" s="148" t="s">
        <v>147</v>
      </c>
      <c r="CS13" s="127" t="str">
        <f t="shared" si="7"/>
        <v>КД ECO-FIT.A</v>
      </c>
      <c r="CU13" s="135" t="s">
        <v>366</v>
      </c>
      <c r="CV13" s="201"/>
      <c r="CW13" s="130"/>
      <c r="CY13" s="136" t="s">
        <v>367</v>
      </c>
      <c r="CZ13" s="150" t="s">
        <v>367</v>
      </c>
      <c r="DA13" s="131" t="s">
        <v>262</v>
      </c>
      <c r="DD13" s="157" t="s">
        <v>1424</v>
      </c>
      <c r="DE13" s="158">
        <v>6030</v>
      </c>
      <c r="DF13" s="751">
        <f t="shared" si="8"/>
        <v>6030</v>
      </c>
      <c r="DG13" s="491"/>
      <c r="DH13" s="492">
        <f t="shared" si="9"/>
        <v>6030</v>
      </c>
      <c r="DJ13" s="56" t="s">
        <v>1772</v>
      </c>
      <c r="DK13" s="97">
        <v>0</v>
      </c>
      <c r="DL13" s="503">
        <f t="shared" si="10"/>
        <v>0</v>
      </c>
      <c r="DM13" s="487"/>
      <c r="DN13" s="486">
        <f t="shared" si="11"/>
        <v>0</v>
      </c>
      <c r="DP13" s="56" t="s">
        <v>585</v>
      </c>
      <c r="DQ13" s="97">
        <v>0</v>
      </c>
      <c r="DR13" s="503">
        <f>ROUND(((DQ13-(DQ13/6))/$DD$3)*$DE$3,2)</f>
        <v>0</v>
      </c>
      <c r="DS13" s="487"/>
      <c r="DT13" s="486">
        <f>IF(DS13="",DR13,
IF(AND($DQ$10&gt;=VLOOKUP(DS13,$DP$5:$DT$9,2,0),$DQ$10&lt;=VLOOKUP(DS13,$DP$5:$DT$9,3,0)),
(DR13*(1-VLOOKUP(DS13,$DP$5:$DT$9,4,0))),
DR13))</f>
        <v>0</v>
      </c>
      <c r="DU13" s="158"/>
      <c r="DV13" s="154" t="s">
        <v>1346</v>
      </c>
      <c r="DW13" s="155">
        <v>0</v>
      </c>
      <c r="DX13" s="495">
        <f t="shared" si="12"/>
        <v>0</v>
      </c>
      <c r="DY13" s="496"/>
      <c r="DZ13" s="497">
        <f t="shared" si="13"/>
        <v>0</v>
      </c>
      <c r="EB13" s="157" t="s">
        <v>954</v>
      </c>
      <c r="EC13" s="158">
        <v>290</v>
      </c>
      <c r="ED13" s="490">
        <f>ROUND(((EC13-(EC13/6))/$DD$3)*$DE$3,2)</f>
        <v>290</v>
      </c>
      <c r="EE13" s="491"/>
      <c r="EF13" s="492">
        <f>IF(EE13="",ED13,
IF(AND($EC$10&gt;=VLOOKUP(EE13,$EB$5:$EF$9,2,0),$EC$10&lt;=VLOOKUP(EE13,$EB$5:$EF$9,3,0)),
(ED13*(1-VLOOKUP(EE13,$EB$5:$EF$9,4,0))),
ED13))</f>
        <v>290</v>
      </c>
      <c r="EG13" s="157"/>
      <c r="EH13" s="157" t="s">
        <v>1517</v>
      </c>
      <c r="EI13" s="158">
        <v>0</v>
      </c>
      <c r="EJ13" s="490">
        <f>ROUND(((EI13-(EI13/6))/$DD$3)*$DE$3,2)</f>
        <v>0</v>
      </c>
      <c r="EK13" s="491"/>
      <c r="EL13" s="492">
        <f>IF(EK13="",EJ13,
IF(AND($EI$10&gt;=VLOOKUP(EK13,$EH$5:$EL$9,2,0),$EI$10&lt;=VLOOKUP(EK13,$EH$5:$EL$9,3,0)),
(EJ13*(1-VLOOKUP(EK13,$EH$5:$EL$9,4,0))),
EJ13))</f>
        <v>0</v>
      </c>
    </row>
    <row r="14" spans="2:142" x14ac:dyDescent="0.2">
      <c r="B14" s="29"/>
      <c r="C14" s="392" t="s">
        <v>1737</v>
      </c>
      <c r="D14" s="395" t="s">
        <v>195</v>
      </c>
      <c r="E14" s="28"/>
      <c r="G14" s="20"/>
      <c r="H14" s="20"/>
      <c r="I14" s="20"/>
      <c r="J14" s="20"/>
      <c r="K14" s="20"/>
      <c r="L14" s="45" t="s">
        <v>376</v>
      </c>
      <c r="M14" s="44" t="s">
        <v>374</v>
      </c>
      <c r="N14" s="85" t="s">
        <v>729</v>
      </c>
      <c r="O14" s="403" t="s">
        <v>195</v>
      </c>
      <c r="Q14" s="45" t="s">
        <v>376</v>
      </c>
      <c r="R14" s="89" t="s">
        <v>56</v>
      </c>
      <c r="S14" s="85" t="s">
        <v>279</v>
      </c>
      <c r="T14" s="20"/>
      <c r="U14" s="135" t="s">
        <v>1018</v>
      </c>
      <c r="V14" s="143" t="s">
        <v>83</v>
      </c>
      <c r="W14" s="151" t="s">
        <v>791</v>
      </c>
      <c r="X14" s="20"/>
      <c r="Y14" s="135" t="s">
        <v>927</v>
      </c>
      <c r="Z14" s="470">
        <v>118</v>
      </c>
      <c r="AA14" s="151" t="s">
        <v>810</v>
      </c>
      <c r="AB14" s="20"/>
      <c r="AC14" s="41"/>
      <c r="AD14" s="89"/>
      <c r="AE14" s="85"/>
      <c r="AF14" s="20"/>
      <c r="AG14" s="41" t="s">
        <v>1546</v>
      </c>
      <c r="AH14" s="89" t="s">
        <v>1547</v>
      </c>
      <c r="AI14" s="85" t="s">
        <v>1548</v>
      </c>
      <c r="AJ14" s="20"/>
      <c r="AK14" s="543" t="s">
        <v>932</v>
      </c>
      <c r="AL14" s="143" t="s">
        <v>62</v>
      </c>
      <c r="AM14" s="544" t="s">
        <v>1003</v>
      </c>
      <c r="AN14" s="20"/>
      <c r="AO14" s="543" t="s">
        <v>933</v>
      </c>
      <c r="AP14" s="93" t="s">
        <v>65</v>
      </c>
      <c r="AQ14" s="550" t="s">
        <v>828</v>
      </c>
      <c r="AU14" s="128" t="s">
        <v>473</v>
      </c>
      <c r="AV14" s="140" t="s">
        <v>166</v>
      </c>
      <c r="AW14" s="130" t="str">
        <f t="shared" si="0"/>
        <v>ДП TANGO.3</v>
      </c>
      <c r="AY14" s="220" t="s">
        <v>375</v>
      </c>
      <c r="AZ14" s="129" t="s">
        <v>302</v>
      </c>
      <c r="BA14" s="130" t="str">
        <f t="shared" si="1"/>
        <v>ДП TANGO.2.фальц</v>
      </c>
      <c r="BB14" s="113"/>
      <c r="BC14" s="36" t="s">
        <v>303</v>
      </c>
      <c r="BD14" s="37" t="s">
        <v>1014</v>
      </c>
      <c r="BE14" s="66" t="str">
        <f>CONCATENATE(BC14,".",BD14)</f>
        <v>купе.робоча</v>
      </c>
      <c r="BF14" s="113"/>
      <c r="BG14" s="220" t="s">
        <v>1014</v>
      </c>
      <c r="BH14" s="129" t="s">
        <v>101</v>
      </c>
      <c r="BI14" s="130" t="str">
        <f t="shared" si="2"/>
        <v>робоча.80</v>
      </c>
      <c r="BK14" s="125" t="s">
        <v>1773</v>
      </c>
      <c r="BL14" s="126" t="s">
        <v>482</v>
      </c>
      <c r="BM14" s="127" t="str">
        <f t="shared" si="3"/>
        <v>ДП Elit.ECO-Cell</v>
      </c>
      <c r="BO14" s="138" t="s">
        <v>482</v>
      </c>
      <c r="BP14" s="20" t="s">
        <v>927</v>
      </c>
      <c r="BQ14" s="130" t="str">
        <f>CONCATENATE(BO14,".",BP14)</f>
        <v>ECO-Cell.118 Дуб вибіл..</v>
      </c>
      <c r="BS14" s="36" t="s">
        <v>376</v>
      </c>
      <c r="BT14" s="44" t="s">
        <v>471</v>
      </c>
      <c r="BU14" s="66" t="str">
        <f t="shared" si="4"/>
        <v>ДП TANGO.3.Стандарт</v>
      </c>
      <c r="BW14" s="56" t="s">
        <v>376</v>
      </c>
      <c r="BX14" s="57" t="s">
        <v>139</v>
      </c>
      <c r="BY14" s="66" t="str">
        <f t="shared" ref="BY14:BY86" si="17">CONCATENATE(BW14,".",BX14)</f>
        <v>ДП TANGO.3.Сатин</v>
      </c>
      <c r="CA14" s="220" t="s">
        <v>1015</v>
      </c>
      <c r="CB14" s="19" t="s">
        <v>1341</v>
      </c>
      <c r="CC14" s="130" t="str">
        <f t="shared" si="5"/>
        <v>ДП TANGO.фальц.робоча.Stand цл Пр +3завіс</v>
      </c>
      <c r="CE14" s="209" t="s">
        <v>1015</v>
      </c>
      <c r="CF14" s="58" t="s">
        <v>198</v>
      </c>
      <c r="CG14" s="131" t="str">
        <f t="shared" si="6"/>
        <v>ДП TANGO.фальц.робоча.ВП</v>
      </c>
      <c r="CI14" s="137" t="s">
        <v>1340</v>
      </c>
      <c r="CJ14" s="126" t="s">
        <v>1147</v>
      </c>
      <c r="CK14" s="127" t="str">
        <f t="shared" ref="CK14:CK19" si="18">CONCATENATE(CI14,".",CJ14)</f>
        <v>Stand цл Лів +3завіс.Ліва</v>
      </c>
      <c r="CM14" s="40" t="s">
        <v>1015</v>
      </c>
      <c r="CN14" s="135" t="s">
        <v>1585</v>
      </c>
      <c r="CO14" s="131" t="str">
        <f>CONCATENATE(CM14,".",CN14)</f>
        <v>ДП TANGO.фальц.робоча.КД ECO-FIT Plus</v>
      </c>
      <c r="CQ14" s="135" t="s">
        <v>367</v>
      </c>
      <c r="CR14" s="149" t="s">
        <v>148</v>
      </c>
      <c r="CS14" s="130" t="str">
        <f t="shared" si="7"/>
        <v>КД ECO-FIT.B</v>
      </c>
      <c r="CU14" s="135" t="s">
        <v>366</v>
      </c>
      <c r="CV14" s="149" t="s">
        <v>250</v>
      </c>
      <c r="CW14" s="130" t="str">
        <f t="shared" ref="CW14:CW20" si="19">CONCATENATE(CU14,".",CV14)</f>
        <v>КД Classic.М60 1кт</v>
      </c>
      <c r="CY14" s="136" t="s">
        <v>1585</v>
      </c>
      <c r="CZ14" s="150" t="s">
        <v>1585</v>
      </c>
      <c r="DA14" s="131" t="s">
        <v>262</v>
      </c>
      <c r="DD14" s="157" t="s">
        <v>494</v>
      </c>
      <c r="DE14" s="158">
        <v>5190</v>
      </c>
      <c r="DF14" s="751">
        <f t="shared" si="8"/>
        <v>5190</v>
      </c>
      <c r="DG14" s="491"/>
      <c r="DH14" s="492">
        <f t="shared" si="9"/>
        <v>5190</v>
      </c>
      <c r="DJ14" s="56" t="s">
        <v>1809</v>
      </c>
      <c r="DK14" s="97">
        <v>0</v>
      </c>
      <c r="DL14" s="503">
        <f t="shared" si="10"/>
        <v>0</v>
      </c>
      <c r="DM14" s="487"/>
      <c r="DN14" s="486">
        <f t="shared" si="11"/>
        <v>0</v>
      </c>
      <c r="DP14" s="56" t="s">
        <v>586</v>
      </c>
      <c r="DQ14" s="97">
        <v>0</v>
      </c>
      <c r="DR14" s="503">
        <f t="shared" ref="DR14:DR75" si="20">ROUND(((DQ14-(DQ14/6))/$DD$3)*$DE$3,2)</f>
        <v>0</v>
      </c>
      <c r="DS14" s="487"/>
      <c r="DT14" s="486">
        <f t="shared" ref="DT14:DT75" si="21">IF(DS14="",DR14,
IF(AND($DQ$10&gt;=VLOOKUP(DS14,$DP$5:$DT$9,2,0),$DQ$10&lt;=VLOOKUP(DS14,$DP$5:$DT$9,3,0)),
(DR14*(1-VLOOKUP(DS14,$DP$5:$DT$9,4,0))),
DR14))</f>
        <v>0</v>
      </c>
      <c r="DU14" s="158"/>
      <c r="DV14" s="154" t="s">
        <v>1347</v>
      </c>
      <c r="DW14" s="158">
        <v>0</v>
      </c>
      <c r="DX14" s="490">
        <f>ROUND(((DW14-(DW14/6))/$DD$3)*$DE$3,2)</f>
        <v>0</v>
      </c>
      <c r="DY14" s="491"/>
      <c r="DZ14" s="492">
        <f>IF(DY14="",DX14,
IF(AND($DW$10&gt;=VLOOKUP(DY14,$DV$5:$DZ$9,2,0),$DW$10&lt;=VLOOKUP(DY14,$DV$5:$DZ$9,3,0)),
(DX14*(1-VLOOKUP(DY14,$DV$5:$DZ$9,4,0))),
DX14))</f>
        <v>0</v>
      </c>
      <c r="EB14" s="100" t="s">
        <v>656</v>
      </c>
      <c r="EC14" s="156">
        <v>195</v>
      </c>
      <c r="ED14" s="498">
        <f t="shared" si="14"/>
        <v>195</v>
      </c>
      <c r="EE14" s="493"/>
      <c r="EF14" s="494">
        <f t="shared" si="15"/>
        <v>195</v>
      </c>
      <c r="EG14" s="157"/>
      <c r="EH14" s="100" t="s">
        <v>1052</v>
      </c>
      <c r="EI14" s="156">
        <v>840</v>
      </c>
      <c r="EJ14" s="498">
        <f>ROUND(((EI14-(EI14/6))/$DD$3)*$DE$3,2)</f>
        <v>840</v>
      </c>
      <c r="EK14" s="493"/>
      <c r="EL14" s="494">
        <f>IF(EK14="",EJ14,
IF(AND($EI$10&gt;=VLOOKUP(EK14,$EH$5:$EL$9,2,0),$EI$10&lt;=VLOOKUP(EK14,$EH$5:$EL$9,3,0)),
(EJ14*(1-VLOOKUP(EK14,$EH$5:$EL$9,4,0))),
EJ14))</f>
        <v>840</v>
      </c>
    </row>
    <row r="15" spans="2:142" x14ac:dyDescent="0.2">
      <c r="B15" s="29"/>
      <c r="C15" s="392" t="s">
        <v>1838</v>
      </c>
      <c r="D15" s="395" t="s">
        <v>195</v>
      </c>
      <c r="E15" s="28"/>
      <c r="G15" s="20"/>
      <c r="H15" s="20"/>
      <c r="I15" s="20"/>
      <c r="J15" s="20"/>
      <c r="K15" s="20"/>
      <c r="L15" s="45" t="s">
        <v>377</v>
      </c>
      <c r="M15" s="44" t="s">
        <v>374</v>
      </c>
      <c r="N15" s="85" t="s">
        <v>729</v>
      </c>
      <c r="O15" s="403" t="s">
        <v>195</v>
      </c>
      <c r="Q15" s="45" t="s">
        <v>377</v>
      </c>
      <c r="R15" s="89" t="s">
        <v>57</v>
      </c>
      <c r="S15" s="85" t="s">
        <v>280</v>
      </c>
      <c r="T15" s="20"/>
      <c r="U15" s="135" t="s">
        <v>1020</v>
      </c>
      <c r="V15" s="143" t="s">
        <v>84</v>
      </c>
      <c r="W15" s="151" t="s">
        <v>792</v>
      </c>
      <c r="X15" s="20"/>
      <c r="Y15" s="135" t="s">
        <v>300</v>
      </c>
      <c r="Z15" s="470">
        <v>119</v>
      </c>
      <c r="AA15" s="151" t="s">
        <v>811</v>
      </c>
      <c r="AB15" s="20"/>
      <c r="AC15" s="45"/>
      <c r="AD15" s="89"/>
      <c r="AE15" s="85"/>
      <c r="AF15" s="20"/>
      <c r="AG15" s="41" t="s">
        <v>951</v>
      </c>
      <c r="AH15" s="89" t="s">
        <v>62</v>
      </c>
      <c r="AI15" s="85" t="s">
        <v>817</v>
      </c>
      <c r="AJ15" s="20"/>
      <c r="AK15" s="543" t="s">
        <v>955</v>
      </c>
      <c r="AL15" s="143" t="s">
        <v>329</v>
      </c>
      <c r="AM15" s="544" t="s">
        <v>1004</v>
      </c>
      <c r="AN15" s="20"/>
      <c r="AO15" s="552"/>
      <c r="AP15" s="455"/>
      <c r="AQ15" s="553"/>
      <c r="AU15" s="128" t="s">
        <v>473</v>
      </c>
      <c r="AV15" s="140" t="s">
        <v>161</v>
      </c>
      <c r="AW15" s="130" t="str">
        <f t="shared" si="0"/>
        <v>ДП TANGO.4</v>
      </c>
      <c r="AY15" s="209" t="s">
        <v>375</v>
      </c>
      <c r="AZ15" s="58" t="s">
        <v>303</v>
      </c>
      <c r="BA15" s="131" t="str">
        <f t="shared" si="1"/>
        <v>ДП TANGO.2.купе</v>
      </c>
      <c r="BB15" s="113"/>
      <c r="BC15" s="412"/>
      <c r="BD15" s="207"/>
      <c r="BE15" s="208"/>
      <c r="BF15" s="113"/>
      <c r="BG15" s="220" t="s">
        <v>1014</v>
      </c>
      <c r="BH15" s="129" t="s">
        <v>102</v>
      </c>
      <c r="BI15" s="130" t="str">
        <f t="shared" si="2"/>
        <v>робоча.90</v>
      </c>
      <c r="BK15" s="125" t="s">
        <v>1773</v>
      </c>
      <c r="BL15" s="126" t="s">
        <v>1422</v>
      </c>
      <c r="BM15" s="127" t="str">
        <f t="shared" si="3"/>
        <v>ДП Elit.ECO-Resist</v>
      </c>
      <c r="BO15" s="138" t="s">
        <v>482</v>
      </c>
      <c r="BP15" s="20" t="s">
        <v>300</v>
      </c>
      <c r="BQ15" s="130" t="str">
        <f t="shared" si="16"/>
        <v>ECO-Cell.119 Дуб ретро</v>
      </c>
      <c r="BS15" s="36" t="s">
        <v>377</v>
      </c>
      <c r="BT15" s="44" t="s">
        <v>471</v>
      </c>
      <c r="BU15" s="66" t="str">
        <f t="shared" si="4"/>
        <v>ДП TANGO.4.Стандарт</v>
      </c>
      <c r="BW15" s="56" t="s">
        <v>377</v>
      </c>
      <c r="BX15" s="57" t="s">
        <v>139</v>
      </c>
      <c r="BY15" s="66" t="str">
        <f t="shared" si="17"/>
        <v>ДП TANGO.4.Сатин</v>
      </c>
      <c r="CA15" s="220" t="s">
        <v>1015</v>
      </c>
      <c r="CC15" s="130"/>
      <c r="CE15" s="217" t="s">
        <v>1019</v>
      </c>
      <c r="CF15" s="129"/>
      <c r="CG15" s="130" t="str">
        <f t="shared" si="6"/>
        <v>ДП TANGO.фальц.неробоча.</v>
      </c>
      <c r="CI15" s="139" t="s">
        <v>1341</v>
      </c>
      <c r="CJ15" s="58" t="s">
        <v>1150</v>
      </c>
      <c r="CK15" s="131" t="str">
        <f t="shared" si="18"/>
        <v>Stand цл Пр +3завіс.Права</v>
      </c>
      <c r="CM15" s="40" t="s">
        <v>1019</v>
      </c>
      <c r="CN15" s="58" t="s">
        <v>929</v>
      </c>
      <c r="CO15" s="66" t="str">
        <f>CONCATENATE(CM15,".",CN15)</f>
        <v>ДП TANGO.фальц.неробоча.(ні)</v>
      </c>
      <c r="CQ15" s="135" t="s">
        <v>367</v>
      </c>
      <c r="CR15" s="508" t="s">
        <v>293</v>
      </c>
      <c r="CS15" s="130" t="str">
        <f>CONCATENATE(CQ15,".",CR15)</f>
        <v>КД ECO-FIT.B+</v>
      </c>
      <c r="CU15" s="136" t="s">
        <v>366</v>
      </c>
      <c r="CV15" s="150" t="s">
        <v>251</v>
      </c>
      <c r="CW15" s="131" t="str">
        <f t="shared" si="19"/>
        <v>КД Classic.М60 2кт</v>
      </c>
      <c r="CY15" s="134" t="s">
        <v>929</v>
      </c>
      <c r="CZ15" s="148" t="s">
        <v>929</v>
      </c>
      <c r="DA15" s="221" t="s">
        <v>266</v>
      </c>
      <c r="DD15" s="157" t="s">
        <v>1425</v>
      </c>
      <c r="DE15" s="158">
        <v>6030</v>
      </c>
      <c r="DF15" s="751">
        <f t="shared" si="8"/>
        <v>6030</v>
      </c>
      <c r="DG15" s="491"/>
      <c r="DH15" s="492">
        <f t="shared" si="9"/>
        <v>6030</v>
      </c>
      <c r="DJ15" s="56" t="s">
        <v>579</v>
      </c>
      <c r="DK15" s="97">
        <v>0</v>
      </c>
      <c r="DL15" s="503">
        <f t="shared" si="10"/>
        <v>0</v>
      </c>
      <c r="DM15" s="487"/>
      <c r="DN15" s="486">
        <f t="shared" si="11"/>
        <v>0</v>
      </c>
      <c r="DP15" s="56" t="s">
        <v>587</v>
      </c>
      <c r="DQ15" s="97">
        <v>0</v>
      </c>
      <c r="DR15" s="503">
        <f t="shared" si="20"/>
        <v>0</v>
      </c>
      <c r="DS15" s="487"/>
      <c r="DT15" s="486">
        <f t="shared" si="21"/>
        <v>0</v>
      </c>
      <c r="DU15" s="158"/>
      <c r="DV15" s="157" t="s">
        <v>1348</v>
      </c>
      <c r="DW15" s="158">
        <v>0</v>
      </c>
      <c r="DX15" s="490">
        <f t="shared" si="12"/>
        <v>0</v>
      </c>
      <c r="DY15" s="491"/>
      <c r="DZ15" s="492">
        <f t="shared" si="13"/>
        <v>0</v>
      </c>
      <c r="EB15" s="157" t="s">
        <v>1774</v>
      </c>
      <c r="EC15" s="158">
        <v>0</v>
      </c>
      <c r="ED15" s="490">
        <f t="shared" si="14"/>
        <v>0</v>
      </c>
      <c r="EE15" s="491"/>
      <c r="EF15" s="497">
        <f t="shared" si="15"/>
        <v>0</v>
      </c>
      <c r="EG15" s="157"/>
      <c r="EH15" s="100" t="s">
        <v>1518</v>
      </c>
      <c r="EI15" s="156">
        <v>990</v>
      </c>
      <c r="EJ15" s="498">
        <f>ROUND(((EI15-(EI15/6))/$DD$3)*$DE$3,2)</f>
        <v>990</v>
      </c>
      <c r="EK15" s="493"/>
      <c r="EL15" s="494">
        <f>IF(EK15="",EJ15,
IF(AND($EI$10&gt;=VLOOKUP(EK15,$EH$5:$EL$9,2,0),$EI$10&lt;=VLOOKUP(EK15,$EH$5:$EL$9,3,0)),
(EJ15*(1-VLOOKUP(EK15,$EH$5:$EL$9,4,0))),
EJ15))</f>
        <v>990</v>
      </c>
    </row>
    <row r="16" spans="2:142" x14ac:dyDescent="0.2">
      <c r="B16" s="29"/>
      <c r="C16" s="392" t="s">
        <v>1810</v>
      </c>
      <c r="D16" s="395" t="s">
        <v>195</v>
      </c>
      <c r="E16" s="28"/>
      <c r="G16" s="20"/>
      <c r="H16" s="20"/>
      <c r="I16" s="20"/>
      <c r="J16" s="20"/>
      <c r="K16" s="20"/>
      <c r="L16" s="45" t="s">
        <v>378</v>
      </c>
      <c r="M16" s="44" t="s">
        <v>374</v>
      </c>
      <c r="N16" s="85" t="s">
        <v>729</v>
      </c>
      <c r="O16" s="403" t="s">
        <v>195</v>
      </c>
      <c r="Q16" s="45" t="s">
        <v>378</v>
      </c>
      <c r="R16" s="89" t="s">
        <v>58</v>
      </c>
      <c r="S16" s="85" t="s">
        <v>281</v>
      </c>
      <c r="T16" s="20"/>
      <c r="U16" s="136" t="s">
        <v>1022</v>
      </c>
      <c r="V16" s="144" t="s">
        <v>85</v>
      </c>
      <c r="W16" s="152" t="s">
        <v>793</v>
      </c>
      <c r="X16" s="20"/>
      <c r="Y16" s="135" t="s">
        <v>301</v>
      </c>
      <c r="Z16" s="470">
        <v>120</v>
      </c>
      <c r="AA16" s="151" t="s">
        <v>812</v>
      </c>
      <c r="AB16" s="20"/>
      <c r="AC16" s="45"/>
      <c r="AD16" s="89"/>
      <c r="AE16" s="85"/>
      <c r="AF16" s="20"/>
      <c r="AG16" s="45"/>
      <c r="AH16" s="89"/>
      <c r="AI16" s="85"/>
      <c r="AJ16" s="20"/>
      <c r="AK16" s="545" t="s">
        <v>934</v>
      </c>
      <c r="AL16" s="144" t="s">
        <v>330</v>
      </c>
      <c r="AM16" s="546" t="s">
        <v>1005</v>
      </c>
      <c r="AN16" s="20"/>
      <c r="AO16" s="548" t="s">
        <v>1334</v>
      </c>
      <c r="AP16" s="93" t="s">
        <v>1188</v>
      </c>
      <c r="AQ16" s="550" t="s">
        <v>826</v>
      </c>
      <c r="AU16" s="128" t="s">
        <v>473</v>
      </c>
      <c r="AV16" s="140" t="s">
        <v>162</v>
      </c>
      <c r="AW16" s="130" t="str">
        <f t="shared" si="0"/>
        <v>ДП TANGO.5</v>
      </c>
      <c r="AY16" s="220" t="s">
        <v>376</v>
      </c>
      <c r="AZ16" s="129" t="s">
        <v>302</v>
      </c>
      <c r="BA16" s="130" t="str">
        <f t="shared" si="1"/>
        <v>ДП TANGO.3.фальц</v>
      </c>
      <c r="BB16" s="113"/>
      <c r="BC16" s="36"/>
      <c r="BD16" s="37"/>
      <c r="BE16" s="66"/>
      <c r="BF16" s="113"/>
      <c r="BG16" s="209" t="s">
        <v>1014</v>
      </c>
      <c r="BH16" s="58" t="s">
        <v>103</v>
      </c>
      <c r="BI16" s="131" t="str">
        <f t="shared" si="2"/>
        <v>робоча.100</v>
      </c>
      <c r="BK16" s="125" t="s">
        <v>1810</v>
      </c>
      <c r="BL16" s="126" t="s">
        <v>1883</v>
      </c>
      <c r="BM16" s="127" t="str">
        <f t="shared" si="3"/>
        <v>ДП Florencia.ECO-CELL</v>
      </c>
      <c r="BO16" s="138" t="s">
        <v>482</v>
      </c>
      <c r="BP16" s="20" t="s">
        <v>301</v>
      </c>
      <c r="BQ16" s="130" t="str">
        <f t="shared" si="16"/>
        <v>ECO-Cell.120 Дуб невада</v>
      </c>
      <c r="BS16" s="36" t="s">
        <v>378</v>
      </c>
      <c r="BT16" s="44" t="s">
        <v>471</v>
      </c>
      <c r="BU16" s="66" t="str">
        <f t="shared" si="4"/>
        <v>ДП TANGO.5.Стандарт</v>
      </c>
      <c r="BW16" s="56" t="s">
        <v>378</v>
      </c>
      <c r="BX16" s="57" t="s">
        <v>139</v>
      </c>
      <c r="BY16" s="66" t="str">
        <f t="shared" si="17"/>
        <v>ДП TANGO.5.Сатин</v>
      </c>
      <c r="CA16" s="220" t="s">
        <v>1015</v>
      </c>
      <c r="CB16" s="19" t="s">
        <v>1344</v>
      </c>
      <c r="CC16" s="130" t="str">
        <f t="shared" si="5"/>
        <v>ДП TANGO.фальц.робоча.Stand ст Лів +3завіс</v>
      </c>
      <c r="CE16" s="220" t="s">
        <v>1019</v>
      </c>
      <c r="CF16" s="129" t="s">
        <v>953</v>
      </c>
      <c r="CG16" s="130" t="str">
        <f t="shared" si="6"/>
        <v>ДП TANGO.фальц.неробоча.ВВ</v>
      </c>
      <c r="CI16" s="138" t="s">
        <v>1342</v>
      </c>
      <c r="CJ16" s="129" t="s">
        <v>1147</v>
      </c>
      <c r="CK16" s="130" t="str">
        <f t="shared" si="18"/>
        <v>Stand кл Лів +3завіс.Ліва</v>
      </c>
      <c r="CM16" s="36" t="s">
        <v>1021</v>
      </c>
      <c r="CN16" s="52" t="s">
        <v>367</v>
      </c>
      <c r="CO16" s="66" t="str">
        <f>CONCATENATE(CM16,".",CN16)</f>
        <v>ДП TANGO.купе.робоча.КД ECO-FIT</v>
      </c>
      <c r="CQ16" s="135" t="s">
        <v>367</v>
      </c>
      <c r="CR16" s="149" t="s">
        <v>149</v>
      </c>
      <c r="CS16" s="130" t="str">
        <f t="shared" si="7"/>
        <v>КД ECO-FIT.C</v>
      </c>
      <c r="CU16" s="135" t="s">
        <v>366</v>
      </c>
      <c r="CV16" s="149" t="s">
        <v>1712</v>
      </c>
      <c r="CW16" s="130" t="str">
        <f t="shared" si="19"/>
        <v>КД Classic.М80 1кт</v>
      </c>
      <c r="CY16" s="215" t="s">
        <v>250</v>
      </c>
      <c r="CZ16" s="129" t="s">
        <v>873</v>
      </c>
      <c r="DA16" s="222" t="s">
        <v>164</v>
      </c>
      <c r="DD16" s="157" t="s">
        <v>495</v>
      </c>
      <c r="DE16" s="158">
        <v>5190</v>
      </c>
      <c r="DF16" s="751">
        <f t="shared" si="8"/>
        <v>5190</v>
      </c>
      <c r="DG16" s="491"/>
      <c r="DH16" s="492">
        <f t="shared" si="9"/>
        <v>5190</v>
      </c>
      <c r="DJ16" s="56" t="s">
        <v>580</v>
      </c>
      <c r="DK16" s="97">
        <v>0</v>
      </c>
      <c r="DL16" s="503">
        <f t="shared" si="10"/>
        <v>0</v>
      </c>
      <c r="DM16" s="487"/>
      <c r="DN16" s="486">
        <f t="shared" si="11"/>
        <v>0</v>
      </c>
      <c r="DP16" s="56" t="s">
        <v>588</v>
      </c>
      <c r="DQ16" s="97">
        <v>0</v>
      </c>
      <c r="DR16" s="503">
        <f t="shared" si="20"/>
        <v>0</v>
      </c>
      <c r="DS16" s="487"/>
      <c r="DT16" s="486">
        <f t="shared" si="21"/>
        <v>0</v>
      </c>
      <c r="DU16" s="158"/>
      <c r="DV16" s="157" t="s">
        <v>1349</v>
      </c>
      <c r="DW16" s="158">
        <v>0</v>
      </c>
      <c r="DX16" s="490">
        <f>ROUND(((DW16-(DW16/6))/$DD$3)*$DE$3,2)</f>
        <v>0</v>
      </c>
      <c r="DY16" s="491"/>
      <c r="DZ16" s="492">
        <f>IF(DY16="",DX16,
IF(AND($DW$10&gt;=VLOOKUP(DY16,$DV$5:$DZ$9,2,0),$DW$10&lt;=VLOOKUP(DY16,$DV$5:$DZ$9,3,0)),
(DX16*(1-VLOOKUP(DY16,$DV$5:$DZ$9,4,0))),
DX16))</f>
        <v>0</v>
      </c>
      <c r="EB16" s="157" t="s">
        <v>1775</v>
      </c>
      <c r="EC16" s="158">
        <v>290</v>
      </c>
      <c r="ED16" s="490">
        <f>ROUND(((EC16-(EC16/6))/$DD$3)*$DE$3,2)</f>
        <v>290</v>
      </c>
      <c r="EE16" s="491"/>
      <c r="EF16" s="492">
        <f>IF(EE16="",ED16,
IF(AND($EC$10&gt;=VLOOKUP(EE16,$EB$5:$EF$9,2,0),$EC$10&lt;=VLOOKUP(EE16,$EB$5:$EF$9,3,0)),
(ED16*(1-VLOOKUP(EE16,$EB$5:$EF$9,4,0))),
ED16))</f>
        <v>290</v>
      </c>
      <c r="EG16" s="157"/>
      <c r="EH16" s="505"/>
      <c r="EI16" s="506"/>
      <c r="EJ16" s="609"/>
      <c r="EK16" s="610"/>
      <c r="EL16" s="611"/>
    </row>
    <row r="17" spans="2:142" x14ac:dyDescent="0.2">
      <c r="B17" s="29"/>
      <c r="C17" s="413" t="s">
        <v>359</v>
      </c>
      <c r="D17" s="414" t="s">
        <v>195</v>
      </c>
      <c r="E17" s="28"/>
      <c r="G17" s="20"/>
      <c r="H17" s="20"/>
      <c r="I17" s="20"/>
      <c r="J17" s="20"/>
      <c r="K17" s="20"/>
      <c r="L17" s="45" t="s">
        <v>379</v>
      </c>
      <c r="M17" s="44" t="s">
        <v>374</v>
      </c>
      <c r="N17" s="85" t="s">
        <v>729</v>
      </c>
      <c r="O17" s="403" t="s">
        <v>195</v>
      </c>
      <c r="Q17" s="45" t="s">
        <v>379</v>
      </c>
      <c r="R17" s="89" t="s">
        <v>59</v>
      </c>
      <c r="S17" s="85" t="s">
        <v>282</v>
      </c>
      <c r="T17" s="20"/>
      <c r="U17" s="135" t="s">
        <v>1572</v>
      </c>
      <c r="V17" s="143" t="s">
        <v>1573</v>
      </c>
      <c r="W17" s="151" t="s">
        <v>1574</v>
      </c>
      <c r="X17" s="20"/>
      <c r="Y17" s="135" t="s">
        <v>928</v>
      </c>
      <c r="Z17" s="470">
        <v>121</v>
      </c>
      <c r="AA17" s="152" t="s">
        <v>813</v>
      </c>
      <c r="AB17" s="20"/>
      <c r="AC17" s="45"/>
      <c r="AD17" s="89"/>
      <c r="AE17" s="85"/>
      <c r="AF17" s="20"/>
      <c r="AG17" s="45"/>
      <c r="AH17" s="89"/>
      <c r="AI17" s="85"/>
      <c r="AJ17" s="20"/>
      <c r="AK17" s="547"/>
      <c r="AL17" s="416"/>
      <c r="AM17" s="544"/>
      <c r="AN17" s="20"/>
      <c r="AO17" s="545" t="s">
        <v>1335</v>
      </c>
      <c r="AP17" s="144" t="s">
        <v>66</v>
      </c>
      <c r="AQ17" s="546" t="s">
        <v>827</v>
      </c>
      <c r="AU17" s="128" t="s">
        <v>473</v>
      </c>
      <c r="AV17" s="140" t="s">
        <v>163</v>
      </c>
      <c r="AW17" s="130" t="str">
        <f t="shared" si="0"/>
        <v>ДП TANGO.6</v>
      </c>
      <c r="AY17" s="209" t="s">
        <v>376</v>
      </c>
      <c r="AZ17" s="58" t="s">
        <v>303</v>
      </c>
      <c r="BA17" s="131" t="str">
        <f t="shared" si="1"/>
        <v>ДП TANGO.3.купе</v>
      </c>
      <c r="BB17" s="113"/>
      <c r="BC17" s="525"/>
      <c r="BD17" s="526"/>
      <c r="BE17" s="527"/>
      <c r="BF17" s="113"/>
      <c r="BG17" s="220" t="s">
        <v>1017</v>
      </c>
      <c r="BH17" s="129" t="s">
        <v>208</v>
      </c>
      <c r="BI17" s="130" t="str">
        <f>CONCATENATE(BG17,".",BH17)</f>
        <v>неробоча.40</v>
      </c>
      <c r="BK17" s="125" t="s">
        <v>1810</v>
      </c>
      <c r="BL17" s="126" t="s">
        <v>1422</v>
      </c>
      <c r="BM17" s="127" t="str">
        <f t="shared" si="3"/>
        <v>ДП Florencia.ECO-Resist</v>
      </c>
      <c r="BO17" s="138" t="s">
        <v>482</v>
      </c>
      <c r="BP17" s="20" t="s">
        <v>928</v>
      </c>
      <c r="BQ17" s="130" t="str">
        <f t="shared" si="16"/>
        <v>ECO-Cell.121 Дуб ірланд.</v>
      </c>
      <c r="BS17" s="36" t="s">
        <v>379</v>
      </c>
      <c r="BT17" s="44" t="s">
        <v>471</v>
      </c>
      <c r="BU17" s="66" t="str">
        <f t="shared" si="4"/>
        <v>ДП TANGO.6.Стандарт</v>
      </c>
      <c r="BW17" s="56" t="s">
        <v>379</v>
      </c>
      <c r="BX17" s="57" t="s">
        <v>139</v>
      </c>
      <c r="BY17" s="66" t="str">
        <f t="shared" si="17"/>
        <v>ДП TANGO.6.Сатин</v>
      </c>
      <c r="CA17" s="220" t="s">
        <v>1015</v>
      </c>
      <c r="CB17" s="19" t="s">
        <v>1345</v>
      </c>
      <c r="CC17" s="130" t="str">
        <f t="shared" si="5"/>
        <v>ДП TANGO.фальц.робоча.Stand ст Пр +3завіс</v>
      </c>
      <c r="CE17" s="209" t="s">
        <v>1019</v>
      </c>
      <c r="CF17" s="58" t="s">
        <v>198</v>
      </c>
      <c r="CG17" s="131" t="str">
        <f t="shared" si="6"/>
        <v>ДП TANGO.фальц.неробоча.ВП</v>
      </c>
      <c r="CI17" s="139" t="s">
        <v>1343</v>
      </c>
      <c r="CJ17" s="58" t="s">
        <v>1150</v>
      </c>
      <c r="CK17" s="131" t="str">
        <f t="shared" si="18"/>
        <v>Stand кл Пр +3завіс.Права</v>
      </c>
      <c r="CM17" s="412"/>
      <c r="CN17" s="407"/>
      <c r="CO17" s="408"/>
      <c r="CQ17" s="135" t="s">
        <v>367</v>
      </c>
      <c r="CR17" s="149" t="s">
        <v>150</v>
      </c>
      <c r="CS17" s="130" t="str">
        <f t="shared" si="7"/>
        <v>КД ECO-FIT.D</v>
      </c>
      <c r="CU17" s="136" t="s">
        <v>366</v>
      </c>
      <c r="CV17" s="150" t="s">
        <v>1713</v>
      </c>
      <c r="CW17" s="131" t="str">
        <f t="shared" si="19"/>
        <v>КД Classic.М80 2кт</v>
      </c>
      <c r="CY17" s="215" t="s">
        <v>251</v>
      </c>
      <c r="CZ17" s="129" t="s">
        <v>873</v>
      </c>
      <c r="DA17" s="222" t="s">
        <v>165</v>
      </c>
      <c r="DD17" s="157" t="s">
        <v>1426</v>
      </c>
      <c r="DE17" s="158">
        <v>6030</v>
      </c>
      <c r="DF17" s="751">
        <f t="shared" si="8"/>
        <v>6030</v>
      </c>
      <c r="DG17" s="491"/>
      <c r="DH17" s="492">
        <f t="shared" si="9"/>
        <v>6030</v>
      </c>
      <c r="DJ17" s="56" t="s">
        <v>581</v>
      </c>
      <c r="DK17" s="97">
        <v>0</v>
      </c>
      <c r="DL17" s="503">
        <f t="shared" si="10"/>
        <v>0</v>
      </c>
      <c r="DM17" s="487"/>
      <c r="DN17" s="486">
        <f t="shared" si="11"/>
        <v>0</v>
      </c>
      <c r="DP17" s="56" t="s">
        <v>589</v>
      </c>
      <c r="DQ17" s="97">
        <v>0</v>
      </c>
      <c r="DR17" s="503">
        <f t="shared" si="20"/>
        <v>0</v>
      </c>
      <c r="DS17" s="487"/>
      <c r="DT17" s="486">
        <f t="shared" si="21"/>
        <v>0</v>
      </c>
      <c r="DU17" s="158"/>
      <c r="DV17" s="157" t="s">
        <v>1350</v>
      </c>
      <c r="DW17" s="158">
        <v>0</v>
      </c>
      <c r="DX17" s="490">
        <f t="shared" si="12"/>
        <v>0</v>
      </c>
      <c r="DY17" s="491"/>
      <c r="DZ17" s="492">
        <f t="shared" si="13"/>
        <v>0</v>
      </c>
      <c r="EB17" s="100" t="s">
        <v>1776</v>
      </c>
      <c r="EC17" s="156">
        <v>195</v>
      </c>
      <c r="ED17" s="498">
        <f t="shared" si="14"/>
        <v>195</v>
      </c>
      <c r="EE17" s="493"/>
      <c r="EF17" s="494">
        <f t="shared" si="15"/>
        <v>195</v>
      </c>
      <c r="EG17" s="157"/>
      <c r="EH17" s="505"/>
      <c r="EI17" s="506"/>
      <c r="EJ17" s="609"/>
      <c r="EK17" s="610"/>
      <c r="EL17" s="611"/>
    </row>
    <row r="18" spans="2:142" x14ac:dyDescent="0.2">
      <c r="B18" s="29"/>
      <c r="C18" s="392" t="s">
        <v>360</v>
      </c>
      <c r="D18" s="395" t="s">
        <v>195</v>
      </c>
      <c r="E18" s="28"/>
      <c r="G18" s="20"/>
      <c r="H18" s="20"/>
      <c r="I18" s="20"/>
      <c r="J18" s="20"/>
      <c r="K18" s="20"/>
      <c r="L18" s="45" t="s">
        <v>380</v>
      </c>
      <c r="M18" s="44" t="s">
        <v>374</v>
      </c>
      <c r="N18" s="85" t="s">
        <v>729</v>
      </c>
      <c r="O18" s="403" t="s">
        <v>195</v>
      </c>
      <c r="Q18" s="45" t="s">
        <v>380</v>
      </c>
      <c r="R18" s="89" t="s">
        <v>184</v>
      </c>
      <c r="S18" s="85" t="s">
        <v>185</v>
      </c>
      <c r="T18" s="20"/>
      <c r="U18" s="135" t="s">
        <v>1023</v>
      </c>
      <c r="V18" s="143" t="s">
        <v>309</v>
      </c>
      <c r="W18" s="151" t="s">
        <v>794</v>
      </c>
      <c r="X18" s="20"/>
      <c r="Y18" s="135" t="s">
        <v>719</v>
      </c>
      <c r="Z18" s="470">
        <v>122</v>
      </c>
      <c r="AA18" s="152" t="s">
        <v>814</v>
      </c>
      <c r="AB18" s="20"/>
      <c r="AC18" s="45"/>
      <c r="AD18" s="89"/>
      <c r="AE18" s="85"/>
      <c r="AF18" s="20"/>
      <c r="AG18" s="41"/>
      <c r="AH18" s="89"/>
      <c r="AI18" s="86"/>
      <c r="AJ18" s="20"/>
      <c r="AK18" s="548" t="s">
        <v>1290</v>
      </c>
      <c r="AL18" s="549" t="s">
        <v>64</v>
      </c>
      <c r="AM18" s="550" t="s">
        <v>1298</v>
      </c>
      <c r="AN18" s="20"/>
      <c r="AO18" s="543" t="s">
        <v>1336</v>
      </c>
      <c r="AP18" s="143" t="s">
        <v>1188</v>
      </c>
      <c r="AQ18" s="544" t="s">
        <v>826</v>
      </c>
      <c r="AU18" s="40" t="s">
        <v>473</v>
      </c>
      <c r="AV18" s="141" t="s">
        <v>186</v>
      </c>
      <c r="AW18" s="131" t="str">
        <f t="shared" si="0"/>
        <v>ДП TANGO.7</v>
      </c>
      <c r="AY18" s="220" t="s">
        <v>377</v>
      </c>
      <c r="AZ18" s="129" t="s">
        <v>302</v>
      </c>
      <c r="BA18" s="130" t="str">
        <f t="shared" si="1"/>
        <v>ДП TANGO.4.фальц</v>
      </c>
      <c r="BB18" s="113"/>
      <c r="BC18" s="36"/>
      <c r="BD18" s="37"/>
      <c r="BE18" s="66"/>
      <c r="BF18" s="113"/>
      <c r="BG18" s="220" t="s">
        <v>1017</v>
      </c>
      <c r="BH18" s="129" t="s">
        <v>99</v>
      </c>
      <c r="BI18" s="130" t="str">
        <f t="shared" si="2"/>
        <v>неробоча.60</v>
      </c>
      <c r="BK18" s="125" t="s">
        <v>474</v>
      </c>
      <c r="BL18" s="126" t="s">
        <v>482</v>
      </c>
      <c r="BM18" s="127" t="str">
        <f t="shared" si="3"/>
        <v>ДП MILANO.ECO-Cell</v>
      </c>
      <c r="BO18" s="138" t="s">
        <v>482</v>
      </c>
      <c r="BP18" s="20" t="s">
        <v>719</v>
      </c>
      <c r="BQ18" s="130" t="str">
        <f t="shared" si="16"/>
        <v>ECO-Cell.122 Сосна аз.</v>
      </c>
      <c r="BS18" s="36" t="s">
        <v>380</v>
      </c>
      <c r="BT18" s="44" t="s">
        <v>471</v>
      </c>
      <c r="BU18" s="66" t="str">
        <f t="shared" si="4"/>
        <v>ДП TANGO.7.Стандарт</v>
      </c>
      <c r="BW18" s="56" t="s">
        <v>380</v>
      </c>
      <c r="BX18" s="57" t="s">
        <v>139</v>
      </c>
      <c r="BY18" s="66" t="str">
        <f t="shared" si="17"/>
        <v>ДП TANGO.7.Сатин</v>
      </c>
      <c r="CA18" s="217" t="s">
        <v>1019</v>
      </c>
      <c r="CB18" s="126" t="s">
        <v>929</v>
      </c>
      <c r="CC18" s="127" t="str">
        <f t="shared" si="5"/>
        <v>ДП TANGO.фальц.неробоча.(ні)</v>
      </c>
      <c r="CE18" s="217" t="s">
        <v>1021</v>
      </c>
      <c r="CF18" s="129"/>
      <c r="CG18" s="130" t="str">
        <f t="shared" si="6"/>
        <v>ДП TANGO.купе.робоча.</v>
      </c>
      <c r="CI18" s="138" t="s">
        <v>1344</v>
      </c>
      <c r="CJ18" s="129" t="s">
        <v>1147</v>
      </c>
      <c r="CK18" s="130" t="str">
        <f t="shared" si="18"/>
        <v>Stand ст Лів +3завіс.Ліва</v>
      </c>
      <c r="CM18" s="128" t="s">
        <v>1777</v>
      </c>
      <c r="CN18" s="129" t="s">
        <v>366</v>
      </c>
      <c r="CO18" s="130" t="str">
        <f>CONCATENATE(CM18,".",CN18)</f>
        <v>ДП Elit.фальц.робоча.КД Classic</v>
      </c>
      <c r="CQ18" s="135" t="s">
        <v>367</v>
      </c>
      <c r="CR18" s="149" t="s">
        <v>151</v>
      </c>
      <c r="CS18" s="130" t="str">
        <f t="shared" si="7"/>
        <v>КД ECO-FIT.E</v>
      </c>
      <c r="CU18" s="41" t="s">
        <v>367</v>
      </c>
      <c r="CV18" s="42" t="s">
        <v>252</v>
      </c>
      <c r="CW18" s="66" t="str">
        <f t="shared" si="19"/>
        <v>КД ECO-FIT.в цене</v>
      </c>
      <c r="CY18" s="215" t="s">
        <v>1712</v>
      </c>
      <c r="CZ18" s="129" t="s">
        <v>1709</v>
      </c>
      <c r="DA18" s="222" t="s">
        <v>164</v>
      </c>
      <c r="DD18" s="157" t="s">
        <v>496</v>
      </c>
      <c r="DE18" s="158">
        <v>5190</v>
      </c>
      <c r="DF18" s="751">
        <f t="shared" si="8"/>
        <v>5190</v>
      </c>
      <c r="DG18" s="491"/>
      <c r="DH18" s="492">
        <f t="shared" si="9"/>
        <v>5190</v>
      </c>
      <c r="DJ18" s="56" t="s">
        <v>582</v>
      </c>
      <c r="DK18" s="97">
        <v>0</v>
      </c>
      <c r="DL18" s="503">
        <f t="shared" si="10"/>
        <v>0</v>
      </c>
      <c r="DM18" s="487"/>
      <c r="DN18" s="486">
        <f t="shared" si="11"/>
        <v>0</v>
      </c>
      <c r="DP18" s="56" t="s">
        <v>590</v>
      </c>
      <c r="DQ18" s="97">
        <v>0</v>
      </c>
      <c r="DR18" s="503">
        <f t="shared" si="20"/>
        <v>0</v>
      </c>
      <c r="DS18" s="487"/>
      <c r="DT18" s="486">
        <f t="shared" si="21"/>
        <v>0</v>
      </c>
      <c r="DU18" s="158"/>
      <c r="DV18" s="157" t="s">
        <v>1351</v>
      </c>
      <c r="DW18" s="158">
        <v>0</v>
      </c>
      <c r="DX18" s="490">
        <f>ROUND(((DW18-(DW18/6))/$DD$3)*$DE$3,2)</f>
        <v>0</v>
      </c>
      <c r="DY18" s="491"/>
      <c r="DZ18" s="492">
        <f>IF(DY18="",DX18,
IF(AND($DW$10&gt;=VLOOKUP(DY18,$DV$5:$DZ$9,2,0),$DW$10&lt;=VLOOKUP(DY18,$DV$5:$DZ$9,3,0)),
(DX18*(1-VLOOKUP(DY18,$DV$5:$DZ$9,4,0))),
DX18))</f>
        <v>0</v>
      </c>
      <c r="EB18" s="157" t="s">
        <v>1811</v>
      </c>
      <c r="EC18" s="158">
        <v>0</v>
      </c>
      <c r="ED18" s="490">
        <f t="shared" si="14"/>
        <v>0</v>
      </c>
      <c r="EE18" s="491"/>
      <c r="EF18" s="497">
        <f t="shared" si="15"/>
        <v>0</v>
      </c>
      <c r="EG18" s="157"/>
      <c r="EH18" s="154" t="s">
        <v>1053</v>
      </c>
      <c r="EI18" s="155">
        <v>0</v>
      </c>
      <c r="EJ18" s="504">
        <f>ROUND(((EI18-(EI18/6))/$DD$3)*$DE$3,2)</f>
        <v>0</v>
      </c>
      <c r="EK18" s="496"/>
      <c r="EL18" s="497">
        <f>IF(EK18="",EJ18,
IF(AND($EI$10&gt;=VLOOKUP(EK18,$EH$5:$EL$9,2,0),$EI$10&lt;=VLOOKUP(EK18,$EH$5:$EL$9,3,0)),
(EJ18*(1-VLOOKUP(EK18,$EH$5:$EL$9,4,0))),
EJ18))</f>
        <v>0</v>
      </c>
    </row>
    <row r="19" spans="2:142" x14ac:dyDescent="0.2">
      <c r="B19" s="29"/>
      <c r="C19" s="392" t="s">
        <v>361</v>
      </c>
      <c r="D19" s="395" t="s">
        <v>195</v>
      </c>
      <c r="E19" s="28"/>
      <c r="G19" s="20"/>
      <c r="H19" s="20"/>
      <c r="I19" s="20"/>
      <c r="J19" s="20"/>
      <c r="K19" s="20"/>
      <c r="L19" s="45"/>
      <c r="M19" s="44"/>
      <c r="N19" s="85"/>
      <c r="O19" s="403"/>
      <c r="Q19" s="45"/>
      <c r="R19" s="89"/>
      <c r="S19" s="85"/>
      <c r="T19" s="20"/>
      <c r="U19" s="135" t="s">
        <v>1024</v>
      </c>
      <c r="V19" s="143" t="s">
        <v>310</v>
      </c>
      <c r="W19" s="151" t="s">
        <v>795</v>
      </c>
      <c r="X19" s="20"/>
      <c r="Y19" s="135" t="s">
        <v>1885</v>
      </c>
      <c r="Z19" s="470">
        <v>125</v>
      </c>
      <c r="AA19" s="152" t="s">
        <v>1886</v>
      </c>
      <c r="AB19" s="20"/>
      <c r="AC19" s="528"/>
      <c r="AD19" s="539"/>
      <c r="AE19" s="521"/>
      <c r="AF19" s="20"/>
      <c r="AG19" s="45"/>
      <c r="AH19" s="89"/>
      <c r="AI19" s="85"/>
      <c r="AJ19" s="20"/>
      <c r="AK19" s="548" t="s">
        <v>1291</v>
      </c>
      <c r="AL19" s="456" t="s">
        <v>1292</v>
      </c>
      <c r="AM19" s="550" t="s">
        <v>1299</v>
      </c>
      <c r="AN19" s="20"/>
      <c r="AO19" s="545" t="s">
        <v>1337</v>
      </c>
      <c r="AP19" s="144" t="s">
        <v>66</v>
      </c>
      <c r="AQ19" s="546" t="s">
        <v>827</v>
      </c>
      <c r="AU19" s="128" t="s">
        <v>1773</v>
      </c>
      <c r="AV19" s="140" t="s">
        <v>164</v>
      </c>
      <c r="AW19" s="130" t="str">
        <f t="shared" si="0"/>
        <v>ДП Elit.1</v>
      </c>
      <c r="AY19" s="209" t="s">
        <v>377</v>
      </c>
      <c r="AZ19" s="58" t="s">
        <v>303</v>
      </c>
      <c r="BA19" s="131" t="str">
        <f t="shared" si="1"/>
        <v>ДП TANGO.4.купе</v>
      </c>
      <c r="BB19" s="113"/>
      <c r="BC19" s="217" t="s">
        <v>36</v>
      </c>
      <c r="BD19" s="126" t="s">
        <v>1055</v>
      </c>
      <c r="BE19" s="127" t="str">
        <f>CONCATENATE(BC19,".",BD19)</f>
        <v>стандарт.1-стулков</v>
      </c>
      <c r="BF19" s="113"/>
      <c r="BG19" s="220" t="s">
        <v>1017</v>
      </c>
      <c r="BH19" s="129" t="s">
        <v>100</v>
      </c>
      <c r="BI19" s="130" t="str">
        <f t="shared" si="2"/>
        <v>неробоча.70</v>
      </c>
      <c r="BK19" s="125" t="s">
        <v>474</v>
      </c>
      <c r="BL19" s="126" t="s">
        <v>1422</v>
      </c>
      <c r="BM19" s="127" t="str">
        <f t="shared" si="3"/>
        <v>ДП MILANO.ECO-Resist</v>
      </c>
      <c r="BO19" s="138" t="s">
        <v>482</v>
      </c>
      <c r="BP19" s="237" t="s">
        <v>1885</v>
      </c>
      <c r="BQ19" s="130" t="str">
        <f>CONCATENATE(BO19,".",BP19)</f>
        <v>ECO-Cell.125 Дуб катанія</v>
      </c>
      <c r="BS19" s="412"/>
      <c r="BT19" s="207"/>
      <c r="BU19" s="208"/>
      <c r="BW19" s="208"/>
      <c r="BX19" s="208"/>
      <c r="BY19" s="208"/>
      <c r="CA19" s="220"/>
      <c r="CB19" s="129"/>
      <c r="CC19" s="130"/>
      <c r="CE19" s="220" t="s">
        <v>1021</v>
      </c>
      <c r="CF19" s="58" t="s">
        <v>953</v>
      </c>
      <c r="CG19" s="131" t="str">
        <f t="shared" si="6"/>
        <v>ДП TANGO.купе.робоча.ВВ</v>
      </c>
      <c r="CI19" s="139" t="s">
        <v>1345</v>
      </c>
      <c r="CJ19" s="58" t="s">
        <v>1150</v>
      </c>
      <c r="CK19" s="131" t="str">
        <f t="shared" si="18"/>
        <v>Stand ст Пр +3завіс.Права</v>
      </c>
      <c r="CM19" s="40" t="s">
        <v>1777</v>
      </c>
      <c r="CN19" s="58" t="s">
        <v>367</v>
      </c>
      <c r="CO19" s="131" t="str">
        <f>CONCATENATE(CM19,".",CN19)</f>
        <v>ДП Elit.фальц.робоча.КД ECO-FIT</v>
      </c>
      <c r="CQ19" s="135" t="s">
        <v>367</v>
      </c>
      <c r="CR19" s="149" t="s">
        <v>152</v>
      </c>
      <c r="CS19" s="130" t="str">
        <f t="shared" si="7"/>
        <v>КД ECO-FIT.F</v>
      </c>
      <c r="CU19" s="136" t="s">
        <v>1585</v>
      </c>
      <c r="CV19" s="42" t="s">
        <v>252</v>
      </c>
      <c r="CW19" s="66" t="str">
        <f t="shared" si="19"/>
        <v>КД ECO-FIT Plus.в цене</v>
      </c>
      <c r="CY19" s="215" t="s">
        <v>1713</v>
      </c>
      <c r="CZ19" s="129" t="s">
        <v>1709</v>
      </c>
      <c r="DA19" s="222" t="s">
        <v>165</v>
      </c>
      <c r="DD19" s="157" t="s">
        <v>1427</v>
      </c>
      <c r="DE19" s="158">
        <v>6030</v>
      </c>
      <c r="DF19" s="751">
        <f t="shared" si="8"/>
        <v>6030</v>
      </c>
      <c r="DG19" s="491"/>
      <c r="DH19" s="492">
        <f t="shared" si="9"/>
        <v>6030</v>
      </c>
      <c r="DJ19" s="56" t="s">
        <v>583</v>
      </c>
      <c r="DK19" s="97">
        <v>0</v>
      </c>
      <c r="DL19" s="503">
        <f t="shared" si="10"/>
        <v>0</v>
      </c>
      <c r="DM19" s="487"/>
      <c r="DN19" s="486">
        <f t="shared" si="11"/>
        <v>0</v>
      </c>
      <c r="DP19" s="241"/>
      <c r="DQ19" s="242"/>
      <c r="DR19" s="489"/>
      <c r="DS19" s="499"/>
      <c r="DT19" s="244"/>
      <c r="DU19" s="158"/>
      <c r="DV19" s="56" t="s">
        <v>1155</v>
      </c>
      <c r="DW19" s="97">
        <v>0</v>
      </c>
      <c r="DX19" s="607">
        <f t="shared" si="12"/>
        <v>0</v>
      </c>
      <c r="DY19" s="487"/>
      <c r="DZ19" s="486">
        <f t="shared" si="13"/>
        <v>0</v>
      </c>
      <c r="EB19" s="157" t="s">
        <v>1812</v>
      </c>
      <c r="EC19" s="158">
        <v>290</v>
      </c>
      <c r="ED19" s="490">
        <f>ROUND(((EC19-(EC19/6))/$DD$3)*$DE$3,2)</f>
        <v>290</v>
      </c>
      <c r="EE19" s="491"/>
      <c r="EF19" s="492">
        <f>IF(EE19="",ED19,
IF(AND($EC$10&gt;=VLOOKUP(EE19,$EB$5:$EF$9,2,0),$EC$10&lt;=VLOOKUP(EE19,$EB$5:$EF$9,3,0)),
(ED19*(1-VLOOKUP(EE19,$EB$5:$EF$9,4,0))),
ED19))</f>
        <v>290</v>
      </c>
      <c r="EG19" s="157"/>
      <c r="EH19" s="154" t="s">
        <v>1519</v>
      </c>
      <c r="EI19" s="155">
        <v>0</v>
      </c>
      <c r="EJ19" s="504">
        <f>ROUND(((EI19-(EI19/6))/$DD$3)*$DE$3,2)</f>
        <v>0</v>
      </c>
      <c r="EK19" s="496"/>
      <c r="EL19" s="497">
        <f>IF(EK19="",EJ19,
IF(AND($EI$10&gt;=VLOOKUP(EK19,$EH$5:$EL$9,2,0),$EI$10&lt;=VLOOKUP(EK19,$EH$5:$EL$9,3,0)),
(EJ19*(1-VLOOKUP(EK19,$EH$5:$EL$9,4,0))),
EJ19))</f>
        <v>0</v>
      </c>
    </row>
    <row r="20" spans="2:142" x14ac:dyDescent="0.2">
      <c r="B20" s="29"/>
      <c r="C20" s="392" t="s">
        <v>362</v>
      </c>
      <c r="D20" s="395" t="s">
        <v>195</v>
      </c>
      <c r="E20" s="28"/>
      <c r="G20" s="20"/>
      <c r="H20" s="20"/>
      <c r="I20" s="20"/>
      <c r="J20" s="20"/>
      <c r="K20" s="20"/>
      <c r="L20" s="45" t="s">
        <v>1778</v>
      </c>
      <c r="M20" s="44" t="s">
        <v>1779</v>
      </c>
      <c r="N20" s="85" t="s">
        <v>1780</v>
      </c>
      <c r="O20" s="403" t="s">
        <v>195</v>
      </c>
      <c r="Q20" s="45" t="s">
        <v>1778</v>
      </c>
      <c r="R20" s="89" t="s">
        <v>54</v>
      </c>
      <c r="S20" s="85" t="s">
        <v>277</v>
      </c>
      <c r="T20" s="20"/>
      <c r="U20" s="135" t="s">
        <v>1025</v>
      </c>
      <c r="V20" s="143" t="s">
        <v>311</v>
      </c>
      <c r="W20" s="151" t="s">
        <v>796</v>
      </c>
      <c r="X20" s="20"/>
      <c r="Y20" s="135" t="s">
        <v>1879</v>
      </c>
      <c r="Z20" s="470">
        <v>126</v>
      </c>
      <c r="AA20" s="152" t="s">
        <v>1880</v>
      </c>
      <c r="AB20" s="20"/>
      <c r="AF20" s="20"/>
      <c r="AG20" s="45"/>
      <c r="AH20" s="89"/>
      <c r="AI20" s="85"/>
      <c r="AJ20" s="20"/>
      <c r="AK20" s="543" t="s">
        <v>1293</v>
      </c>
      <c r="AL20" s="456" t="s">
        <v>288</v>
      </c>
      <c r="AM20" s="544" t="s">
        <v>1300</v>
      </c>
      <c r="AN20" s="20"/>
      <c r="AO20" s="543" t="s">
        <v>1338</v>
      </c>
      <c r="AP20" s="143" t="s">
        <v>1188</v>
      </c>
      <c r="AQ20" s="544" t="s">
        <v>826</v>
      </c>
      <c r="AU20" s="128" t="s">
        <v>1773</v>
      </c>
      <c r="AV20" s="140" t="s">
        <v>165</v>
      </c>
      <c r="AW20" s="130" t="str">
        <f t="shared" si="0"/>
        <v>ДП Elit.2</v>
      </c>
      <c r="AY20" s="220" t="s">
        <v>378</v>
      </c>
      <c r="AZ20" s="129" t="s">
        <v>302</v>
      </c>
      <c r="BA20" s="130" t="str">
        <f t="shared" si="1"/>
        <v>ДП TANGO.5.фальц</v>
      </c>
      <c r="BB20" s="113"/>
      <c r="BC20" s="209" t="s">
        <v>36</v>
      </c>
      <c r="BD20" s="58" t="s">
        <v>1057</v>
      </c>
      <c r="BE20" s="131" t="str">
        <f>CONCATENATE(BC20,".",BD20)</f>
        <v>стандарт.2-стулков</v>
      </c>
      <c r="BF20" s="113"/>
      <c r="BG20" s="220" t="s">
        <v>1017</v>
      </c>
      <c r="BH20" s="129" t="s">
        <v>101</v>
      </c>
      <c r="BI20" s="130" t="str">
        <f t="shared" si="2"/>
        <v>неробоча.80</v>
      </c>
      <c r="BK20" s="125" t="s">
        <v>477</v>
      </c>
      <c r="BL20" s="126" t="s">
        <v>482</v>
      </c>
      <c r="BM20" s="127" t="str">
        <f t="shared" si="3"/>
        <v>ДП LIANO.ECO-Cell</v>
      </c>
      <c r="BO20" s="139" t="s">
        <v>482</v>
      </c>
      <c r="BP20" s="20" t="s">
        <v>1879</v>
      </c>
      <c r="BQ20" s="130" t="str">
        <f t="shared" si="16"/>
        <v>ECO-Cell.126 Дуб грей</v>
      </c>
      <c r="BS20" s="36" t="s">
        <v>1778</v>
      </c>
      <c r="BT20" s="44" t="s">
        <v>471</v>
      </c>
      <c r="BU20" s="66" t="str">
        <f t="shared" si="4"/>
        <v>ДП Elit.1.Стандарт</v>
      </c>
      <c r="BW20" s="56" t="s">
        <v>1778</v>
      </c>
      <c r="BX20" s="57" t="s">
        <v>139</v>
      </c>
      <c r="BY20" s="66" t="str">
        <f t="shared" si="17"/>
        <v>ДП Elit.1.Сатин</v>
      </c>
      <c r="CA20" s="220" t="s">
        <v>1019</v>
      </c>
      <c r="CB20" s="19" t="s">
        <v>1156</v>
      </c>
      <c r="CC20" s="130" t="str">
        <f t="shared" si="5"/>
        <v>ДП TANGO.фальц.неробоча.Пл Stand +3завіс</v>
      </c>
      <c r="CE20" s="511"/>
      <c r="CF20" s="509"/>
      <c r="CG20" s="510"/>
      <c r="CI20" s="409"/>
      <c r="CJ20" s="410"/>
      <c r="CK20" s="411"/>
      <c r="CM20" s="40" t="s">
        <v>1777</v>
      </c>
      <c r="CN20" s="239" t="s">
        <v>1585</v>
      </c>
      <c r="CO20" s="131" t="str">
        <f>CONCATENATE(CM20,".",CN20)</f>
        <v>ДП Elit.фальц.робоча.КД ECO-FIT Plus</v>
      </c>
      <c r="CQ20" s="135" t="s">
        <v>367</v>
      </c>
      <c r="CR20" s="149" t="s">
        <v>153</v>
      </c>
      <c r="CS20" s="130" t="str">
        <f t="shared" si="7"/>
        <v>КД ECO-FIT.G</v>
      </c>
      <c r="CU20" s="136" t="s">
        <v>929</v>
      </c>
      <c r="CV20" s="150" t="s">
        <v>929</v>
      </c>
      <c r="CW20" s="131" t="str">
        <f t="shared" si="19"/>
        <v>(ні).(ні)</v>
      </c>
      <c r="CY20" s="216" t="s">
        <v>252</v>
      </c>
      <c r="CZ20" s="150"/>
      <c r="DA20" s="223" t="s">
        <v>266</v>
      </c>
      <c r="DD20" s="157" t="s">
        <v>497</v>
      </c>
      <c r="DE20" s="158">
        <v>5190</v>
      </c>
      <c r="DF20" s="751">
        <f t="shared" ref="DF20:DF25" si="22">ROUND(((DE20-(DE20/6))/$DD$3)*$DE$3,2)</f>
        <v>5190</v>
      </c>
      <c r="DG20" s="491"/>
      <c r="DH20" s="492">
        <f t="shared" ref="DH20:DH25" si="23">IF(DG20="",DF20,
IF(AND($DE$10&gt;=VLOOKUP(DG20,$DD$5:$DH$9,2,0),$DE$10&lt;=VLOOKUP(DG20,$DD$5:$DH$9,3,0)),
(DF20*(1-VLOOKUP(DG20,$DD$5:$DH$9,4,0))),
DF20))</f>
        <v>5190</v>
      </c>
      <c r="DJ20" s="56" t="s">
        <v>1736</v>
      </c>
      <c r="DK20" s="97">
        <v>0</v>
      </c>
      <c r="DL20" s="503">
        <f t="shared" si="10"/>
        <v>0</v>
      </c>
      <c r="DM20" s="487"/>
      <c r="DN20" s="486">
        <f>IF(DM20="",DL20,
IF(AND($DK$10&gt;=VLOOKUP(DM20,$DJ$5:$DN$9,2,0),$DK$10&lt;=VLOOKUP(DM20,$DJ$5:$DN$9,3,0)),
(DL20*(1-VLOOKUP(DM20,$DJ$5:$DN$9,4,0))),
DL20))</f>
        <v>0</v>
      </c>
      <c r="DP20" s="56" t="s">
        <v>1870</v>
      </c>
      <c r="DQ20" s="97">
        <v>0</v>
      </c>
      <c r="DR20" s="503">
        <f t="shared" si="20"/>
        <v>0</v>
      </c>
      <c r="DS20" s="487"/>
      <c r="DT20" s="486">
        <f t="shared" si="21"/>
        <v>0</v>
      </c>
      <c r="DU20" s="158"/>
      <c r="DV20" s="157" t="s">
        <v>639</v>
      </c>
      <c r="DW20" s="158">
        <v>0</v>
      </c>
      <c r="DX20" s="490">
        <f t="shared" si="12"/>
        <v>0</v>
      </c>
      <c r="DY20" s="491"/>
      <c r="DZ20" s="492">
        <f t="shared" si="13"/>
        <v>0</v>
      </c>
      <c r="EB20" s="100" t="s">
        <v>1813</v>
      </c>
      <c r="EC20" s="156">
        <v>195</v>
      </c>
      <c r="ED20" s="498">
        <f t="shared" si="14"/>
        <v>195</v>
      </c>
      <c r="EE20" s="493"/>
      <c r="EF20" s="494">
        <f t="shared" si="15"/>
        <v>195</v>
      </c>
      <c r="EG20" s="157"/>
      <c r="EH20" s="100" t="s">
        <v>1054</v>
      </c>
      <c r="EI20" s="156">
        <v>1360</v>
      </c>
      <c r="EJ20" s="498">
        <f>ROUND(((EI20-(EI20/6))/$DD$3)*$DE$3,2)</f>
        <v>1360</v>
      </c>
      <c r="EK20" s="493"/>
      <c r="EL20" s="494">
        <f>IF(EK20="",EJ20,
IF(AND($EI$10&gt;=VLOOKUP(EK20,$EH$5:$EL$9,2,0),$EI$10&lt;=VLOOKUP(EK20,$EH$5:$EL$9,3,0)),
(EJ20*(1-VLOOKUP(EK20,$EH$5:$EL$9,4,0))),
EJ20))</f>
        <v>1360</v>
      </c>
    </row>
    <row r="21" spans="2:142" x14ac:dyDescent="0.2">
      <c r="B21" s="29"/>
      <c r="C21" s="392" t="s">
        <v>363</v>
      </c>
      <c r="D21" s="395" t="s">
        <v>195</v>
      </c>
      <c r="E21" s="28"/>
      <c r="G21" s="20"/>
      <c r="H21" s="20"/>
      <c r="I21" s="20"/>
      <c r="J21" s="20"/>
      <c r="K21" s="20"/>
      <c r="L21" s="136" t="s">
        <v>1781</v>
      </c>
      <c r="M21" s="44" t="s">
        <v>1779</v>
      </c>
      <c r="N21" s="85" t="s">
        <v>1780</v>
      </c>
      <c r="O21" s="403" t="s">
        <v>195</v>
      </c>
      <c r="P21" s="20"/>
      <c r="Q21" s="136" t="s">
        <v>1781</v>
      </c>
      <c r="R21" s="89" t="s">
        <v>55</v>
      </c>
      <c r="S21" s="85" t="s">
        <v>278</v>
      </c>
      <c r="T21" s="20"/>
      <c r="U21" s="135" t="s">
        <v>1026</v>
      </c>
      <c r="V21" s="143" t="s">
        <v>312</v>
      </c>
      <c r="W21" s="151" t="s">
        <v>797</v>
      </c>
      <c r="X21" s="20"/>
      <c r="Y21" s="135" t="s">
        <v>1881</v>
      </c>
      <c r="Z21" s="470">
        <v>127</v>
      </c>
      <c r="AA21" s="152" t="s">
        <v>1882</v>
      </c>
      <c r="AB21" s="20"/>
      <c r="AF21" s="20"/>
      <c r="AG21" s="528"/>
      <c r="AH21" s="539"/>
      <c r="AI21" s="521"/>
      <c r="AJ21" s="20"/>
      <c r="AK21" s="543" t="s">
        <v>1294</v>
      </c>
      <c r="AL21" s="456" t="s">
        <v>208</v>
      </c>
      <c r="AM21" s="544" t="s">
        <v>1301</v>
      </c>
      <c r="AN21" s="20"/>
      <c r="AO21" s="545" t="s">
        <v>1339</v>
      </c>
      <c r="AP21" s="144" t="s">
        <v>66</v>
      </c>
      <c r="AQ21" s="546" t="s">
        <v>827</v>
      </c>
      <c r="AU21" s="128" t="s">
        <v>1810</v>
      </c>
      <c r="AV21" s="140" t="s">
        <v>164</v>
      </c>
      <c r="AW21" s="130" t="str">
        <f t="shared" si="0"/>
        <v>ДП Florencia.1</v>
      </c>
      <c r="AY21" s="209" t="s">
        <v>378</v>
      </c>
      <c r="AZ21" s="58" t="s">
        <v>303</v>
      </c>
      <c r="BA21" s="131" t="str">
        <f t="shared" si="1"/>
        <v>ДП TANGO.5.купе</v>
      </c>
      <c r="BB21" s="113"/>
      <c r="BC21" s="217" t="s">
        <v>156</v>
      </c>
      <c r="BD21" s="126" t="s">
        <v>1055</v>
      </c>
      <c r="BE21" s="127" t="str">
        <f>CONCATENATE(BC21,".",BD21)</f>
        <v>туннель.1-стулков</v>
      </c>
      <c r="BF21" s="113"/>
      <c r="BG21" s="220" t="s">
        <v>1017</v>
      </c>
      <c r="BH21" s="129" t="s">
        <v>102</v>
      </c>
      <c r="BI21" s="130" t="str">
        <f t="shared" si="2"/>
        <v>неробоча.90</v>
      </c>
      <c r="BK21" s="125" t="s">
        <v>477</v>
      </c>
      <c r="BL21" s="126" t="s">
        <v>1422</v>
      </c>
      <c r="BM21" s="127" t="str">
        <f t="shared" si="3"/>
        <v>ДП LIANO.ECO-Resist</v>
      </c>
      <c r="BO21" s="139" t="s">
        <v>482</v>
      </c>
      <c r="BP21" s="20" t="s">
        <v>1881</v>
      </c>
      <c r="BQ21" s="130" t="str">
        <f t="shared" si="16"/>
        <v>ECO-Cell.127 Горіх крем</v>
      </c>
      <c r="BS21" s="36" t="s">
        <v>1781</v>
      </c>
      <c r="BT21" s="44" t="s">
        <v>471</v>
      </c>
      <c r="BU21" s="66" t="str">
        <f t="shared" si="4"/>
        <v>ДП Elit.2.Стандарт</v>
      </c>
      <c r="BW21" s="56" t="s">
        <v>1778</v>
      </c>
      <c r="BX21" s="57" t="s">
        <v>1546</v>
      </c>
      <c r="BY21" s="66" t="str">
        <f t="shared" si="17"/>
        <v>ДП Elit.1.Лакобель</v>
      </c>
      <c r="CA21" s="217" t="s">
        <v>1021</v>
      </c>
      <c r="CB21" s="126" t="s">
        <v>929</v>
      </c>
      <c r="CC21" s="127" t="str">
        <f t="shared" si="5"/>
        <v>ДП TANGO.купе.робоча.(ні)</v>
      </c>
      <c r="CE21" s="217" t="s">
        <v>1777</v>
      </c>
      <c r="CF21" s="129"/>
      <c r="CG21" s="130" t="str">
        <f t="shared" ref="CG21:CG28" si="24">CONCATENATE(CE21,".",CF21)</f>
        <v>ДП Elit.фальц.робоча.</v>
      </c>
      <c r="CI21" s="137" t="s">
        <v>1156</v>
      </c>
      <c r="CJ21" s="126" t="s">
        <v>1147</v>
      </c>
      <c r="CK21" s="127" t="str">
        <f>CONCATENATE(CI21,".",CJ21)</f>
        <v>Пл Stand +3завіс.Ліва</v>
      </c>
      <c r="CM21" s="40" t="s">
        <v>1782</v>
      </c>
      <c r="CN21" s="58" t="s">
        <v>929</v>
      </c>
      <c r="CO21" s="66" t="str">
        <f>CONCATENATE(CM21,".",CN21)</f>
        <v>ДП Elit.фальц.неробоча.(ні)</v>
      </c>
      <c r="CQ21" s="135" t="s">
        <v>367</v>
      </c>
      <c r="CR21" s="149" t="s">
        <v>154</v>
      </c>
      <c r="CS21" s="130" t="str">
        <f t="shared" si="7"/>
        <v>КД ECO-FIT.H</v>
      </c>
      <c r="CU21" s="52"/>
      <c r="CV21" s="52"/>
      <c r="CW21" s="66"/>
      <c r="CY21" s="207"/>
      <c r="CZ21" s="207"/>
      <c r="DA21" s="208"/>
      <c r="DD21" s="157" t="s">
        <v>1428</v>
      </c>
      <c r="DE21" s="158">
        <v>6030</v>
      </c>
      <c r="DF21" s="751">
        <f t="shared" si="22"/>
        <v>6030</v>
      </c>
      <c r="DG21" s="491"/>
      <c r="DH21" s="492">
        <f t="shared" si="23"/>
        <v>6030</v>
      </c>
      <c r="DJ21" s="56" t="s">
        <v>584</v>
      </c>
      <c r="DK21" s="97">
        <v>0</v>
      </c>
      <c r="DL21" s="503">
        <f t="shared" si="10"/>
        <v>0</v>
      </c>
      <c r="DM21" s="487"/>
      <c r="DN21" s="486">
        <f>IF(DM21="",DL21,
IF(AND($DK$10&gt;=VLOOKUP(DM21,$DJ$5:$DN$9,2,0),$DK$10&lt;=VLOOKUP(DM21,$DJ$5:$DN$9,3,0)),
(DL21*(1-VLOOKUP(DM21,$DJ$5:$DN$9,4,0))),
DL21))</f>
        <v>0</v>
      </c>
      <c r="DP21" s="56" t="s">
        <v>1871</v>
      </c>
      <c r="DQ21" s="97">
        <v>520</v>
      </c>
      <c r="DR21" s="503">
        <f>ROUND(((DQ21-(DQ21/6))/$DD$3)*$DE$3,2)</f>
        <v>520</v>
      </c>
      <c r="DS21" s="487"/>
      <c r="DT21" s="486">
        <f>IF(DS21="",DR21,
IF(AND($DQ$10&gt;=VLOOKUP(DS21,$DP$5:$DT$9,2,0),$DQ$10&lt;=VLOOKUP(DS21,$DP$5:$DT$9,3,0)),
(DR21*(1-VLOOKUP(DS21,$DP$5:$DT$9,4,0))),
DR21))</f>
        <v>520</v>
      </c>
      <c r="DU21" s="158"/>
      <c r="DV21" s="100" t="s">
        <v>640</v>
      </c>
      <c r="DW21" s="156">
        <v>640</v>
      </c>
      <c r="DX21" s="498">
        <f t="shared" si="12"/>
        <v>640</v>
      </c>
      <c r="DY21" s="493"/>
      <c r="DZ21" s="494">
        <f t="shared" si="13"/>
        <v>640</v>
      </c>
      <c r="EB21" s="157" t="s">
        <v>657</v>
      </c>
      <c r="EC21" s="158">
        <v>0</v>
      </c>
      <c r="ED21" s="490">
        <f t="shared" si="14"/>
        <v>0</v>
      </c>
      <c r="EE21" s="491"/>
      <c r="EF21" s="497">
        <f t="shared" si="15"/>
        <v>0</v>
      </c>
      <c r="EG21" s="157"/>
      <c r="EH21" s="100" t="s">
        <v>1520</v>
      </c>
      <c r="EI21" s="156">
        <v>1640</v>
      </c>
      <c r="EJ21" s="498">
        <f>ROUND(((EI21-(EI21/6))/$DD$3)*$DE$3,2)</f>
        <v>1640</v>
      </c>
      <c r="EK21" s="493"/>
      <c r="EL21" s="494">
        <f>IF(EK21="",EJ21,
IF(AND($EI$10&gt;=VLOOKUP(EK21,$EH$5:$EL$9,2,0),$EI$10&lt;=VLOOKUP(EK21,$EH$5:$EL$9,3,0)),
(EJ21*(1-VLOOKUP(EK21,$EH$5:$EL$9,4,0))),
EJ21))</f>
        <v>1640</v>
      </c>
    </row>
    <row r="22" spans="2:142" x14ac:dyDescent="0.2">
      <c r="B22" s="29"/>
      <c r="C22" s="392" t="s">
        <v>364</v>
      </c>
      <c r="D22" s="395" t="s">
        <v>195</v>
      </c>
      <c r="E22" s="28"/>
      <c r="G22" s="20"/>
      <c r="H22" s="20"/>
      <c r="I22" s="20"/>
      <c r="J22" s="20"/>
      <c r="K22" s="20"/>
      <c r="L22" s="136"/>
      <c r="M22" s="44"/>
      <c r="N22" s="85"/>
      <c r="O22" s="403"/>
      <c r="P22" s="20"/>
      <c r="Q22" s="54"/>
      <c r="R22" s="89"/>
      <c r="S22" s="85"/>
      <c r="T22" s="20"/>
      <c r="U22" s="136" t="s">
        <v>1027</v>
      </c>
      <c r="V22" s="144" t="s">
        <v>317</v>
      </c>
      <c r="W22" s="152" t="s">
        <v>798</v>
      </c>
      <c r="X22" s="20"/>
      <c r="Y22" s="135" t="s">
        <v>1890</v>
      </c>
      <c r="Z22" s="470">
        <v>151</v>
      </c>
      <c r="AA22" s="152" t="s">
        <v>1891</v>
      </c>
      <c r="AB22" s="20"/>
      <c r="AF22" s="20"/>
      <c r="AG22" s="746"/>
      <c r="AH22" s="537"/>
      <c r="AI22" s="538"/>
      <c r="AJ22" s="20"/>
      <c r="AK22" s="543"/>
      <c r="AL22" s="456"/>
      <c r="AM22" s="544"/>
      <c r="AN22" s="20"/>
      <c r="AO22" s="545"/>
      <c r="AP22" s="144"/>
      <c r="AQ22" s="546"/>
      <c r="AU22" s="128" t="s">
        <v>1810</v>
      </c>
      <c r="AV22" s="140" t="s">
        <v>165</v>
      </c>
      <c r="AW22" s="130" t="str">
        <f t="shared" si="0"/>
        <v>ДП Florencia.2</v>
      </c>
      <c r="AY22" s="220" t="s">
        <v>379</v>
      </c>
      <c r="AZ22" s="129" t="s">
        <v>302</v>
      </c>
      <c r="BA22" s="130" t="str">
        <f t="shared" si="1"/>
        <v>ДП TANGO.6.фальц</v>
      </c>
      <c r="BB22" s="113"/>
      <c r="BC22" s="220"/>
      <c r="BD22" s="129"/>
      <c r="BE22" s="130"/>
      <c r="BF22" s="113"/>
      <c r="BG22" s="209" t="s">
        <v>1017</v>
      </c>
      <c r="BH22" s="58" t="s">
        <v>103</v>
      </c>
      <c r="BI22" s="131" t="str">
        <f t="shared" si="2"/>
        <v>неробоча.100</v>
      </c>
      <c r="BK22" s="125" t="s">
        <v>478</v>
      </c>
      <c r="BL22" s="126" t="s">
        <v>482</v>
      </c>
      <c r="BM22" s="127" t="str">
        <f t="shared" si="3"/>
        <v>ДП BERGAMO.ECO-Cell</v>
      </c>
      <c r="BO22" s="139" t="s">
        <v>482</v>
      </c>
      <c r="BP22" s="20" t="s">
        <v>1890</v>
      </c>
      <c r="BQ22" s="130" t="str">
        <f>CONCATENATE(BO22,".",BP22)</f>
        <v>ECO-Cell.151 Біанко</v>
      </c>
      <c r="BS22" s="412"/>
      <c r="BT22" s="207"/>
      <c r="BU22" s="208"/>
      <c r="BW22" s="56" t="s">
        <v>1781</v>
      </c>
      <c r="BX22" s="57" t="s">
        <v>139</v>
      </c>
      <c r="BY22" s="66" t="str">
        <f t="shared" si="17"/>
        <v>ДП Elit.2.Сатин</v>
      </c>
      <c r="CA22" s="220" t="s">
        <v>1021</v>
      </c>
      <c r="CB22" s="129" t="s">
        <v>140</v>
      </c>
      <c r="CC22" s="130" t="str">
        <f t="shared" si="5"/>
        <v>ДП TANGO.купе.робоча.Ручка-Захват</v>
      </c>
      <c r="CE22" s="220" t="s">
        <v>1777</v>
      </c>
      <c r="CF22" s="129" t="s">
        <v>953</v>
      </c>
      <c r="CG22" s="130" t="str">
        <f t="shared" si="24"/>
        <v>ДП Elit.фальц.робоча.ВВ</v>
      </c>
      <c r="CI22" s="139" t="s">
        <v>1156</v>
      </c>
      <c r="CJ22" s="58" t="s">
        <v>1150</v>
      </c>
      <c r="CK22" s="131" t="str">
        <f>CONCATENATE(CI22,".",CJ22)</f>
        <v>Пл Stand +3завіс.Права</v>
      </c>
      <c r="CM22" s="36" t="s">
        <v>1785</v>
      </c>
      <c r="CN22" s="52" t="s">
        <v>367</v>
      </c>
      <c r="CO22" s="66" t="str">
        <f>CONCATENATE(CM22,".",CN22)</f>
        <v>ДП Elit.купе.робоча.КД ECO-FIT</v>
      </c>
      <c r="CQ22" s="136" t="s">
        <v>367</v>
      </c>
      <c r="CR22" s="150" t="s">
        <v>155</v>
      </c>
      <c r="CS22" s="131" t="str">
        <f t="shared" si="7"/>
        <v>КД ECO-FIT.I</v>
      </c>
      <c r="CU22" s="52"/>
      <c r="CV22" s="52"/>
      <c r="CW22" s="66"/>
      <c r="CY22" s="217" t="s">
        <v>302</v>
      </c>
      <c r="CZ22" s="218" t="s">
        <v>36</v>
      </c>
      <c r="DA22" s="127" t="s">
        <v>263</v>
      </c>
      <c r="DD22" s="157" t="s">
        <v>498</v>
      </c>
      <c r="DE22" s="158">
        <v>5190</v>
      </c>
      <c r="DF22" s="751">
        <f t="shared" si="22"/>
        <v>5190</v>
      </c>
      <c r="DG22" s="491"/>
      <c r="DH22" s="492">
        <f t="shared" si="23"/>
        <v>5190</v>
      </c>
      <c r="DJ22" s="56" t="s">
        <v>1850</v>
      </c>
      <c r="DK22" s="97">
        <v>0</v>
      </c>
      <c r="DL22" s="503">
        <f>ROUND(((DK22-(DK22/6))/$DD$3)*$DE$3,2)</f>
        <v>0</v>
      </c>
      <c r="DM22" s="487"/>
      <c r="DN22" s="486">
        <f>IF(DM22="",DL22,
IF(AND($DK$10&gt;=VLOOKUP(DM22,$DJ$5:$DN$9,2,0),$DK$10&lt;=VLOOKUP(DM22,$DJ$5:$DN$9,3,0)),
(DL22*(1-VLOOKUP(DM22,$DJ$5:$DN$9,4,0))),
DL22))</f>
        <v>0</v>
      </c>
      <c r="DP22" s="56" t="s">
        <v>1783</v>
      </c>
      <c r="DQ22" s="97">
        <v>0</v>
      </c>
      <c r="DR22" s="503">
        <f t="shared" si="20"/>
        <v>0</v>
      </c>
      <c r="DS22" s="487"/>
      <c r="DT22" s="486">
        <f t="shared" si="21"/>
        <v>0</v>
      </c>
      <c r="DU22" s="158"/>
      <c r="DV22" s="600"/>
      <c r="DW22" s="601"/>
      <c r="DX22" s="604"/>
      <c r="DY22" s="605"/>
      <c r="DZ22" s="606"/>
      <c r="EB22" s="157" t="s">
        <v>956</v>
      </c>
      <c r="EC22" s="158">
        <v>290</v>
      </c>
      <c r="ED22" s="490">
        <f>ROUND(((EC22-(EC22/6))/$DD$3)*$DE$3,2)</f>
        <v>290</v>
      </c>
      <c r="EE22" s="491"/>
      <c r="EF22" s="492">
        <f>IF(EE22="",ED22,
IF(AND($EC$10&gt;=VLOOKUP(EE22,$EB$5:$EF$9,2,0),$EC$10&lt;=VLOOKUP(EE22,$EB$5:$EF$9,3,0)),
(ED22*(1-VLOOKUP(EE22,$EB$5:$EF$9,4,0))),
ED22))</f>
        <v>290</v>
      </c>
      <c r="EG22" s="157"/>
      <c r="EH22" s="505"/>
      <c r="EI22" s="506"/>
      <c r="EJ22" s="609"/>
      <c r="EK22" s="610"/>
      <c r="EL22" s="611"/>
    </row>
    <row r="23" spans="2:142" ht="10.8" thickBot="1" x14ac:dyDescent="0.25">
      <c r="B23" s="29"/>
      <c r="C23" s="393" t="s">
        <v>365</v>
      </c>
      <c r="D23" s="396" t="s">
        <v>195</v>
      </c>
      <c r="E23" s="28"/>
      <c r="G23" s="20"/>
      <c r="H23" s="20"/>
      <c r="I23" s="20"/>
      <c r="J23" s="20"/>
      <c r="K23" s="20"/>
      <c r="L23" s="45" t="s">
        <v>1784</v>
      </c>
      <c r="M23" s="44" t="s">
        <v>1779</v>
      </c>
      <c r="N23" s="85" t="s">
        <v>1780</v>
      </c>
      <c r="O23" s="403" t="s">
        <v>195</v>
      </c>
      <c r="Q23" s="54" t="s">
        <v>1817</v>
      </c>
      <c r="R23" s="89" t="s">
        <v>54</v>
      </c>
      <c r="S23" s="85" t="s">
        <v>277</v>
      </c>
      <c r="T23" s="20"/>
      <c r="U23" s="134" t="s">
        <v>1028</v>
      </c>
      <c r="V23" s="93" t="s">
        <v>313</v>
      </c>
      <c r="W23" s="92" t="s">
        <v>799</v>
      </c>
      <c r="X23" s="20"/>
      <c r="Y23" s="135" t="s">
        <v>1423</v>
      </c>
      <c r="Z23" s="470">
        <v>201</v>
      </c>
      <c r="AA23" s="152" t="s">
        <v>1516</v>
      </c>
      <c r="AB23" s="20"/>
      <c r="AF23" s="20"/>
      <c r="AJ23" s="20"/>
      <c r="AK23" s="545" t="s">
        <v>1295</v>
      </c>
      <c r="AL23" s="551" t="s">
        <v>289</v>
      </c>
      <c r="AM23" s="546" t="s">
        <v>1302</v>
      </c>
      <c r="AN23" s="20"/>
      <c r="AO23" s="552"/>
      <c r="AP23" s="455"/>
      <c r="AQ23" s="553"/>
      <c r="AU23" s="128" t="s">
        <v>474</v>
      </c>
      <c r="AV23" s="140" t="s">
        <v>164</v>
      </c>
      <c r="AW23" s="130" t="str">
        <f t="shared" si="0"/>
        <v>ДП MILANO.1</v>
      </c>
      <c r="AY23" s="209" t="s">
        <v>379</v>
      </c>
      <c r="AZ23" s="58" t="s">
        <v>303</v>
      </c>
      <c r="BA23" s="131" t="str">
        <f t="shared" si="1"/>
        <v>ДП TANGO.6.купе</v>
      </c>
      <c r="BB23" s="113"/>
      <c r="BC23" s="209" t="s">
        <v>156</v>
      </c>
      <c r="BD23" s="58" t="s">
        <v>1057</v>
      </c>
      <c r="BE23" s="131" t="str">
        <f>CONCATENATE(BC23,".",BD23)</f>
        <v>туннель.2-стулков</v>
      </c>
      <c r="BF23" s="113"/>
      <c r="BG23" s="209"/>
      <c r="BH23" s="58"/>
      <c r="BI23" s="131"/>
      <c r="BK23" s="125" t="s">
        <v>478</v>
      </c>
      <c r="BL23" s="126" t="s">
        <v>1422</v>
      </c>
      <c r="BM23" s="127" t="str">
        <f t="shared" si="3"/>
        <v>ДП BERGAMO.ECO-Resist</v>
      </c>
      <c r="BO23" s="19" t="s">
        <v>1422</v>
      </c>
      <c r="BP23" s="19" t="s">
        <v>1423</v>
      </c>
      <c r="BQ23" s="130" t="str">
        <f t="shared" si="16"/>
        <v>ECO-Resist.201 Білий</v>
      </c>
      <c r="BS23" s="36" t="s">
        <v>1817</v>
      </c>
      <c r="BT23" s="44" t="s">
        <v>471</v>
      </c>
      <c r="BU23" s="66" t="str">
        <f t="shared" si="4"/>
        <v>ДП Florencia.1.Стандарт</v>
      </c>
      <c r="BW23" s="56" t="s">
        <v>1781</v>
      </c>
      <c r="BX23" s="57" t="s">
        <v>1546</v>
      </c>
      <c r="BY23" s="66" t="str">
        <f t="shared" si="17"/>
        <v>ДП Elit.2.Лакобель</v>
      </c>
      <c r="CA23" s="220" t="s">
        <v>1021</v>
      </c>
      <c r="CB23" s="129" t="s">
        <v>192</v>
      </c>
      <c r="CC23" s="130" t="str">
        <f t="shared" si="5"/>
        <v>ДП TANGO.купе.робоча.Ручка-Замок</v>
      </c>
      <c r="CE23" s="209" t="s">
        <v>1777</v>
      </c>
      <c r="CF23" s="58" t="s">
        <v>198</v>
      </c>
      <c r="CG23" s="131" t="str">
        <f t="shared" si="24"/>
        <v>ДП Elit.фальц.робоча.ВП</v>
      </c>
      <c r="CI23" s="213"/>
      <c r="CJ23" s="207"/>
      <c r="CK23" s="208"/>
      <c r="CM23" s="412"/>
      <c r="CN23" s="407"/>
      <c r="CO23" s="408"/>
      <c r="CQ23" s="134" t="s">
        <v>1585</v>
      </c>
      <c r="CR23" s="148" t="s">
        <v>147</v>
      </c>
      <c r="CS23" s="127" t="str">
        <f>CONCATENATE(CQ23,".",CR23)</f>
        <v>КД ECO-FIT Plus.A</v>
      </c>
      <c r="CU23" s="52"/>
      <c r="CV23" s="52"/>
      <c r="CW23" s="66"/>
      <c r="CY23" s="138" t="s">
        <v>304</v>
      </c>
      <c r="CZ23" s="219" t="s">
        <v>36</v>
      </c>
      <c r="DA23" s="130" t="s">
        <v>263</v>
      </c>
      <c r="DD23" s="157" t="s">
        <v>1429</v>
      </c>
      <c r="DE23" s="158">
        <v>6030</v>
      </c>
      <c r="DF23" s="751">
        <f t="shared" si="22"/>
        <v>6030</v>
      </c>
      <c r="DG23" s="491"/>
      <c r="DH23" s="492">
        <f t="shared" si="23"/>
        <v>6030</v>
      </c>
      <c r="DJ23" s="505"/>
      <c r="DK23" s="505"/>
      <c r="DL23" s="505"/>
      <c r="DM23" s="505"/>
      <c r="DN23" s="505"/>
      <c r="DP23" s="56" t="s">
        <v>1851</v>
      </c>
      <c r="DQ23" s="97">
        <v>520</v>
      </c>
      <c r="DR23" s="503">
        <f t="shared" si="20"/>
        <v>520</v>
      </c>
      <c r="DS23" s="487"/>
      <c r="DT23" s="486">
        <f t="shared" si="21"/>
        <v>520</v>
      </c>
      <c r="DU23" s="158"/>
      <c r="DV23" s="56" t="s">
        <v>1787</v>
      </c>
      <c r="DW23" s="97">
        <v>0</v>
      </c>
      <c r="DX23" s="388">
        <f t="shared" ref="DX23:DX32" si="25">ROUND(((DW23-(DW23/6))/$DD$3)*$DE$3,2)</f>
        <v>0</v>
      </c>
      <c r="DY23" s="487"/>
      <c r="DZ23" s="486">
        <f t="shared" ref="DZ23:DZ32" si="26">IF(DY23="",DX23,
IF(AND($DW$10&gt;=VLOOKUP(DY23,$DV$5:$DZ$9,2,0),$DW$10&lt;=VLOOKUP(DY23,$DV$5:$DZ$9,3,0)),
(DX23*(1-VLOOKUP(DY23,$DV$5:$DZ$9,4,0))),
DX23))</f>
        <v>0</v>
      </c>
      <c r="EB23" s="100" t="s">
        <v>658</v>
      </c>
      <c r="EC23" s="156">
        <v>195</v>
      </c>
      <c r="ED23" s="498">
        <f t="shared" si="14"/>
        <v>195</v>
      </c>
      <c r="EE23" s="493"/>
      <c r="EF23" s="494">
        <f t="shared" si="15"/>
        <v>195</v>
      </c>
      <c r="EG23" s="157"/>
      <c r="EH23" s="154" t="s">
        <v>1056</v>
      </c>
      <c r="EI23" s="155">
        <v>0</v>
      </c>
      <c r="EJ23" s="504">
        <f>ROUND(((EI23-(EI23/6))/$DD$3)*$DE$3,2)</f>
        <v>0</v>
      </c>
      <c r="EK23" s="496"/>
      <c r="EL23" s="497">
        <f>IF(EK23="",EJ23,
IF(AND($EI$10&gt;=VLOOKUP(EK23,$EH$5:$EL$9,2,0),$EI$10&lt;=VLOOKUP(EK23,$EH$5:$EL$9,3,0)),
(EJ23*(1-VLOOKUP(EK23,$EH$5:$EL$9,4,0))),
EJ23))</f>
        <v>0</v>
      </c>
    </row>
    <row r="24" spans="2:142" x14ac:dyDescent="0.2">
      <c r="B24" s="29"/>
      <c r="C24" s="239"/>
      <c r="E24" s="28"/>
      <c r="G24" s="20"/>
      <c r="H24" s="20"/>
      <c r="I24" s="20"/>
      <c r="J24" s="20"/>
      <c r="K24" s="20"/>
      <c r="L24" s="45" t="s">
        <v>1786</v>
      </c>
      <c r="M24" s="44" t="s">
        <v>1779</v>
      </c>
      <c r="N24" s="85" t="s">
        <v>1780</v>
      </c>
      <c r="O24" s="403" t="s">
        <v>195</v>
      </c>
      <c r="Q24" s="54" t="s">
        <v>1821</v>
      </c>
      <c r="R24" s="89" t="s">
        <v>55</v>
      </c>
      <c r="S24" s="85" t="s">
        <v>278</v>
      </c>
      <c r="T24" s="20"/>
      <c r="U24" s="135" t="s">
        <v>1029</v>
      </c>
      <c r="V24" s="143" t="s">
        <v>314</v>
      </c>
      <c r="W24" s="151" t="s">
        <v>800</v>
      </c>
      <c r="X24" s="20"/>
      <c r="Y24" s="135" t="s">
        <v>1707</v>
      </c>
      <c r="Z24" s="470">
        <v>203</v>
      </c>
      <c r="AA24" s="152" t="s">
        <v>1708</v>
      </c>
      <c r="AB24" s="20"/>
      <c r="AF24" s="20"/>
      <c r="AJ24" s="20"/>
      <c r="AK24" s="545" t="s">
        <v>1296</v>
      </c>
      <c r="AL24" s="551" t="s">
        <v>1297</v>
      </c>
      <c r="AM24" s="546" t="s">
        <v>1303</v>
      </c>
      <c r="AN24" s="20"/>
      <c r="AO24" s="543"/>
      <c r="AP24" s="456"/>
      <c r="AQ24" s="544"/>
      <c r="AU24" s="128" t="s">
        <v>474</v>
      </c>
      <c r="AV24" s="140" t="s">
        <v>165</v>
      </c>
      <c r="AW24" s="130" t="str">
        <f t="shared" si="0"/>
        <v>ДП MILANO.2</v>
      </c>
      <c r="AY24" s="220" t="s">
        <v>380</v>
      </c>
      <c r="AZ24" s="129" t="s">
        <v>302</v>
      </c>
      <c r="BA24" s="130" t="str">
        <f t="shared" si="1"/>
        <v>ДП TANGO.7.фальц</v>
      </c>
      <c r="BB24" s="113"/>
      <c r="BC24" s="412"/>
      <c r="BD24" s="207"/>
      <c r="BE24" s="208"/>
      <c r="BF24" s="113"/>
      <c r="BG24" s="406"/>
      <c r="BH24" s="407"/>
      <c r="BI24" s="408"/>
      <c r="BK24" s="125" t="s">
        <v>479</v>
      </c>
      <c r="BL24" s="126" t="s">
        <v>482</v>
      </c>
      <c r="BM24" s="127" t="str">
        <f t="shared" si="3"/>
        <v>ДП GRANDE.ECO-Cell</v>
      </c>
      <c r="BO24" s="19" t="s">
        <v>1422</v>
      </c>
      <c r="BP24" s="19" t="s">
        <v>1707</v>
      </c>
      <c r="BQ24" s="130" t="str">
        <f t="shared" si="16"/>
        <v>ECO-Resist.203 Маренго</v>
      </c>
      <c r="BS24" s="36" t="s">
        <v>1821</v>
      </c>
      <c r="BT24" s="44" t="s">
        <v>471</v>
      </c>
      <c r="BU24" s="66" t="str">
        <f t="shared" si="4"/>
        <v>ДП Florencia.2.Стандарт</v>
      </c>
      <c r="BW24" s="208"/>
      <c r="BX24" s="208"/>
      <c r="BY24" s="208"/>
      <c r="CA24" s="412"/>
      <c r="CB24" s="207"/>
      <c r="CC24" s="208"/>
      <c r="CE24" s="217" t="s">
        <v>1782</v>
      </c>
      <c r="CF24" s="129"/>
      <c r="CG24" s="130" t="str">
        <f t="shared" si="24"/>
        <v>ДП Elit.фальц.неробоча.</v>
      </c>
      <c r="CI24" s="137" t="s">
        <v>140</v>
      </c>
      <c r="CJ24" s="126" t="s">
        <v>1147</v>
      </c>
      <c r="CK24" s="127" t="str">
        <f>CONCATENATE(CI24,".",CJ24)</f>
        <v>Ручка-Захват.Ліва</v>
      </c>
      <c r="CM24" s="128" t="s">
        <v>1814</v>
      </c>
      <c r="CN24" s="129" t="s">
        <v>366</v>
      </c>
      <c r="CO24" s="130" t="str">
        <f>CONCATENATE(CM24,".",CN24)</f>
        <v>ДП Florencia.фальц.робоча.КД Classic</v>
      </c>
      <c r="CQ24" s="135" t="s">
        <v>1585</v>
      </c>
      <c r="CR24" s="149" t="s">
        <v>148</v>
      </c>
      <c r="CS24" s="130" t="str">
        <f>CONCATENATE(CQ24,".",CR24)</f>
        <v>КД ECO-FIT Plus.B</v>
      </c>
      <c r="CU24" s="52"/>
      <c r="CV24" s="52"/>
      <c r="CW24" s="66"/>
      <c r="CY24" s="209" t="s">
        <v>306</v>
      </c>
      <c r="CZ24" s="210" t="s">
        <v>36</v>
      </c>
      <c r="DA24" s="131" t="s">
        <v>263</v>
      </c>
      <c r="DD24" s="157" t="s">
        <v>499</v>
      </c>
      <c r="DE24" s="158">
        <v>5190</v>
      </c>
      <c r="DF24" s="751">
        <f t="shared" si="22"/>
        <v>5190</v>
      </c>
      <c r="DG24" s="491"/>
      <c r="DH24" s="492">
        <f t="shared" si="23"/>
        <v>5190</v>
      </c>
      <c r="DJ24" s="56"/>
      <c r="DK24" s="95"/>
      <c r="DL24" s="387"/>
      <c r="DM24" s="95"/>
      <c r="DN24" s="95"/>
      <c r="DP24" s="241"/>
      <c r="DQ24" s="242"/>
      <c r="DR24" s="489"/>
      <c r="DS24" s="499"/>
      <c r="DT24" s="244"/>
      <c r="DU24" s="158"/>
      <c r="DV24" s="154" t="s">
        <v>1789</v>
      </c>
      <c r="DW24" s="155">
        <v>0</v>
      </c>
      <c r="DX24" s="495">
        <f t="shared" si="25"/>
        <v>0</v>
      </c>
      <c r="DY24" s="496"/>
      <c r="DZ24" s="497">
        <f t="shared" si="26"/>
        <v>0</v>
      </c>
      <c r="EB24" s="154" t="s">
        <v>659</v>
      </c>
      <c r="EC24" s="155">
        <v>0</v>
      </c>
      <c r="ED24" s="504">
        <f t="shared" si="14"/>
        <v>0</v>
      </c>
      <c r="EE24" s="496"/>
      <c r="EF24" s="497">
        <f t="shared" si="15"/>
        <v>0</v>
      </c>
      <c r="EG24" s="157"/>
      <c r="EH24" s="154" t="s">
        <v>1521</v>
      </c>
      <c r="EI24" s="155">
        <v>1</v>
      </c>
      <c r="EJ24" s="504">
        <f>ROUND(((EI24-(EI24/6))/$DD$3)*$DE$3,2)</f>
        <v>1</v>
      </c>
      <c r="EK24" s="496"/>
      <c r="EL24" s="497">
        <f>IF(EK24="",EJ24,
IF(AND($EI$10&gt;=VLOOKUP(EK24,$EH$5:$EL$9,2,0),$EI$10&lt;=VLOOKUP(EK24,$EH$5:$EL$9,3,0)),
(EJ24*(1-VLOOKUP(EK24,$EH$5:$EL$9,4,0))),
EJ24))</f>
        <v>1</v>
      </c>
    </row>
    <row r="25" spans="2:142" ht="10.8" thickBot="1" x14ac:dyDescent="0.25">
      <c r="B25" s="29"/>
      <c r="C25" s="27" t="s">
        <v>105</v>
      </c>
      <c r="D25" s="32" t="s">
        <v>194</v>
      </c>
      <c r="E25" s="28"/>
      <c r="G25" s="20"/>
      <c r="H25" s="20"/>
      <c r="I25" s="20"/>
      <c r="J25" s="20"/>
      <c r="K25" s="20"/>
      <c r="L25" s="45" t="s">
        <v>1788</v>
      </c>
      <c r="M25" s="44" t="s">
        <v>1779</v>
      </c>
      <c r="N25" s="85" t="s">
        <v>1780</v>
      </c>
      <c r="O25" s="403" t="s">
        <v>195</v>
      </c>
      <c r="Q25" s="45"/>
      <c r="R25" s="89"/>
      <c r="S25" s="85"/>
      <c r="T25" s="20"/>
      <c r="U25" s="135" t="s">
        <v>1030</v>
      </c>
      <c r="V25" s="143" t="s">
        <v>315</v>
      </c>
      <c r="W25" s="151" t="s">
        <v>801</v>
      </c>
      <c r="X25" s="20"/>
      <c r="Y25" s="135"/>
      <c r="Z25" s="470"/>
      <c r="AA25" s="152"/>
      <c r="AB25" s="20"/>
      <c r="AF25" s="20"/>
      <c r="AJ25" s="20"/>
      <c r="AK25" s="552"/>
      <c r="AL25" s="455"/>
      <c r="AM25" s="553"/>
      <c r="AN25" s="20"/>
      <c r="AO25" s="554"/>
      <c r="AP25" s="537"/>
      <c r="AQ25" s="555"/>
      <c r="AU25" s="128" t="s">
        <v>474</v>
      </c>
      <c r="AV25" s="140" t="s">
        <v>166</v>
      </c>
      <c r="AW25" s="130" t="str">
        <f t="shared" si="0"/>
        <v>ДП MILANO.3</v>
      </c>
      <c r="AY25" s="209" t="s">
        <v>380</v>
      </c>
      <c r="AZ25" s="58" t="s">
        <v>303</v>
      </c>
      <c r="BA25" s="131" t="str">
        <f t="shared" si="1"/>
        <v>ДП TANGO.7.купе</v>
      </c>
      <c r="BB25" s="113"/>
      <c r="BC25" s="36" t="s">
        <v>115</v>
      </c>
      <c r="BD25" s="126" t="s">
        <v>1061</v>
      </c>
      <c r="BE25" s="127" t="str">
        <f>CONCATENATE(BC25,".",BD25)</f>
        <v>стандарт,.1-стулков.</v>
      </c>
      <c r="BF25" s="113"/>
      <c r="BG25" s="220"/>
      <c r="BH25" s="129"/>
      <c r="BI25" s="130"/>
      <c r="BK25" s="125" t="s">
        <v>479</v>
      </c>
      <c r="BL25" s="126" t="s">
        <v>1422</v>
      </c>
      <c r="BM25" s="127" t="str">
        <f t="shared" si="3"/>
        <v>ДП GRANDE.ECO-Resist</v>
      </c>
      <c r="BS25" s="412"/>
      <c r="BT25" s="207"/>
      <c r="BU25" s="208"/>
      <c r="BW25" s="56" t="s">
        <v>1817</v>
      </c>
      <c r="BX25" s="57" t="s">
        <v>929</v>
      </c>
      <c r="BY25" s="66" t="str">
        <f t="shared" si="17"/>
        <v>ДП Florencia.1.(ні)</v>
      </c>
      <c r="CA25" s="220" t="s">
        <v>1777</v>
      </c>
      <c r="CB25" s="129" t="s">
        <v>929</v>
      </c>
      <c r="CC25" s="130" t="str">
        <f t="shared" ref="CC25:CC35" si="27">CONCATENATE(CA25,".",CB25)</f>
        <v>ДП Elit.фальц.робоча.(ні)</v>
      </c>
      <c r="CE25" s="220" t="s">
        <v>1782</v>
      </c>
      <c r="CF25" s="129" t="s">
        <v>953</v>
      </c>
      <c r="CG25" s="130" t="str">
        <f t="shared" si="24"/>
        <v>ДП Elit.фальц.неробоча.ВВ</v>
      </c>
      <c r="CI25" s="139" t="s">
        <v>140</v>
      </c>
      <c r="CJ25" s="58" t="s">
        <v>1150</v>
      </c>
      <c r="CK25" s="131" t="str">
        <f>CONCATENATE(CI25,".",CJ25)</f>
        <v>Ручка-Захват.Права</v>
      </c>
      <c r="CM25" s="40" t="s">
        <v>1814</v>
      </c>
      <c r="CN25" s="58" t="s">
        <v>367</v>
      </c>
      <c r="CO25" s="131" t="str">
        <f>CONCATENATE(CM25,".",CN25)</f>
        <v>ДП Florencia.фальц.робоча.КД ECO-FIT</v>
      </c>
      <c r="CQ25" s="135" t="s">
        <v>1585</v>
      </c>
      <c r="CR25" s="508" t="s">
        <v>293</v>
      </c>
      <c r="CS25" s="130" t="str">
        <f>CONCATENATE(CQ25,".",CR25)</f>
        <v>КД ECO-FIT Plus.B+</v>
      </c>
      <c r="CU25" s="52"/>
      <c r="CV25" s="52"/>
      <c r="CW25" s="66"/>
      <c r="CY25" s="217" t="s">
        <v>303</v>
      </c>
      <c r="CZ25" s="218" t="s">
        <v>156</v>
      </c>
      <c r="DA25" s="224" t="s">
        <v>263</v>
      </c>
      <c r="DD25" s="157" t="s">
        <v>1430</v>
      </c>
      <c r="DE25" s="158">
        <v>6030</v>
      </c>
      <c r="DF25" s="751">
        <f t="shared" si="22"/>
        <v>6030</v>
      </c>
      <c r="DG25" s="491"/>
      <c r="DH25" s="492">
        <f t="shared" si="23"/>
        <v>6030</v>
      </c>
      <c r="DJ25" s="56"/>
      <c r="DK25" s="95"/>
      <c r="DL25" s="387"/>
      <c r="DM25" s="95"/>
      <c r="DN25" s="95"/>
      <c r="DP25" s="56" t="s">
        <v>1820</v>
      </c>
      <c r="DQ25" s="97">
        <v>0</v>
      </c>
      <c r="DR25" s="503">
        <f t="shared" si="20"/>
        <v>0</v>
      </c>
      <c r="DS25" s="487"/>
      <c r="DT25" s="486">
        <f t="shared" si="21"/>
        <v>0</v>
      </c>
      <c r="DU25" s="158"/>
      <c r="DV25" s="154" t="s">
        <v>1791</v>
      </c>
      <c r="DW25" s="158">
        <v>0</v>
      </c>
      <c r="DX25" s="490">
        <f>ROUND(((DW25-(DW25/6))/$DD$3)*$DE$3,2)</f>
        <v>0</v>
      </c>
      <c r="DY25" s="491"/>
      <c r="DZ25" s="492">
        <f>IF(DY25="",DX25,
IF(AND($DW$10&gt;=VLOOKUP(DY25,$DV$5:$DZ$9,2,0),$DW$10&lt;=VLOOKUP(DY25,$DV$5:$DZ$9,3,0)),
(DX25*(1-VLOOKUP(DY25,$DV$5:$DZ$9,4,0))),
DX25))</f>
        <v>0</v>
      </c>
      <c r="EB25" s="157" t="s">
        <v>957</v>
      </c>
      <c r="EC25" s="158">
        <v>290</v>
      </c>
      <c r="ED25" s="490">
        <f t="shared" si="14"/>
        <v>290</v>
      </c>
      <c r="EE25" s="491"/>
      <c r="EF25" s="492">
        <f t="shared" si="15"/>
        <v>290</v>
      </c>
      <c r="EG25" s="157"/>
      <c r="EH25" s="100" t="s">
        <v>1058</v>
      </c>
      <c r="EI25" s="156">
        <v>1450</v>
      </c>
      <c r="EJ25" s="498">
        <f>ROUND(((EI25-(EI25/6))/$DD$3)*$DE$3,2)</f>
        <v>1450</v>
      </c>
      <c r="EK25" s="493"/>
      <c r="EL25" s="494">
        <f>IF(EK25="",EJ25,
IF(AND($EI$10&gt;=VLOOKUP(EK25,$EH$5:$EL$9,2,0),$EI$10&lt;=VLOOKUP(EK25,$EH$5:$EL$9,3,0)),
(EJ25*(1-VLOOKUP(EK25,$EH$5:$EL$9,4,0))),
EJ25))</f>
        <v>1450</v>
      </c>
    </row>
    <row r="26" spans="2:142" x14ac:dyDescent="0.2">
      <c r="B26" s="29"/>
      <c r="C26" s="391" t="s">
        <v>366</v>
      </c>
      <c r="D26" s="399" t="s">
        <v>196</v>
      </c>
      <c r="E26" s="28"/>
      <c r="G26" s="20"/>
      <c r="H26" s="20"/>
      <c r="I26" s="20"/>
      <c r="J26" s="20"/>
      <c r="K26" s="20"/>
      <c r="L26" s="45" t="s">
        <v>1790</v>
      </c>
      <c r="M26" s="44" t="s">
        <v>1779</v>
      </c>
      <c r="N26" s="85" t="s">
        <v>1780</v>
      </c>
      <c r="O26" s="403" t="s">
        <v>195</v>
      </c>
      <c r="Q26" s="45" t="s">
        <v>381</v>
      </c>
      <c r="R26" s="89" t="s">
        <v>54</v>
      </c>
      <c r="S26" s="85" t="s">
        <v>277</v>
      </c>
      <c r="T26" s="20"/>
      <c r="U26" s="135" t="s">
        <v>1031</v>
      </c>
      <c r="V26" s="143" t="s">
        <v>316</v>
      </c>
      <c r="W26" s="151" t="s">
        <v>802</v>
      </c>
      <c r="X26" s="20"/>
      <c r="Y26" s="41" t="s">
        <v>929</v>
      </c>
      <c r="Z26" s="471" t="s">
        <v>203</v>
      </c>
      <c r="AA26" s="85" t="s">
        <v>815</v>
      </c>
      <c r="AB26" s="20"/>
      <c r="AF26" s="20"/>
      <c r="AJ26" s="20"/>
      <c r="AK26" s="548" t="s">
        <v>1307</v>
      </c>
      <c r="AL26" s="549" t="s">
        <v>331</v>
      </c>
      <c r="AM26" s="550" t="s">
        <v>1313</v>
      </c>
      <c r="AN26" s="20"/>
      <c r="AO26" s="543"/>
      <c r="AP26" s="456"/>
      <c r="AQ26" s="544"/>
      <c r="AU26" s="128" t="s">
        <v>474</v>
      </c>
      <c r="AV26" s="140" t="s">
        <v>161</v>
      </c>
      <c r="AW26" s="130" t="str">
        <f>CONCATENATE(AU26,".",AV26)</f>
        <v>ДП MILANO.4</v>
      </c>
      <c r="AY26" s="657"/>
      <c r="AZ26" s="658"/>
      <c r="BA26" s="659"/>
      <c r="BB26" s="113"/>
      <c r="BC26" s="412"/>
      <c r="BD26" s="207"/>
      <c r="BE26" s="208"/>
      <c r="BF26" s="113"/>
      <c r="BG26" s="522"/>
      <c r="BH26" s="523"/>
      <c r="BI26" s="524"/>
      <c r="BK26" s="125" t="s">
        <v>480</v>
      </c>
      <c r="BL26" s="126" t="s">
        <v>482</v>
      </c>
      <c r="BM26" s="127" t="str">
        <f t="shared" si="3"/>
        <v>ДП PIANO.ECO-Cell</v>
      </c>
      <c r="BO26" s="139" t="s">
        <v>1884</v>
      </c>
      <c r="BP26" s="237" t="s">
        <v>1885</v>
      </c>
      <c r="BQ26" s="131" t="str">
        <f>CONCATENATE(BO26,".",BP26)</f>
        <v>ECO-CELL(акція).125 Дуб катанія</v>
      </c>
      <c r="BS26" s="36" t="s">
        <v>381</v>
      </c>
      <c r="BT26" s="44" t="s">
        <v>471</v>
      </c>
      <c r="BU26" s="66" t="str">
        <f t="shared" si="4"/>
        <v>ДП MILANO.1.Стандарт</v>
      </c>
      <c r="BW26" s="56" t="s">
        <v>1821</v>
      </c>
      <c r="BX26" s="57" t="s">
        <v>139</v>
      </c>
      <c r="BY26" s="66" t="str">
        <f t="shared" si="17"/>
        <v>ДП Florencia.2.Сатин</v>
      </c>
      <c r="CA26" s="220" t="s">
        <v>1777</v>
      </c>
      <c r="CB26" s="19" t="s">
        <v>1340</v>
      </c>
      <c r="CC26" s="130" t="str">
        <f t="shared" si="27"/>
        <v>ДП Elit.фальц.робоча.Stand цл Лів +3завіс</v>
      </c>
      <c r="CE26" s="209" t="s">
        <v>1782</v>
      </c>
      <c r="CF26" s="58" t="s">
        <v>198</v>
      </c>
      <c r="CG26" s="131" t="str">
        <f t="shared" si="24"/>
        <v>ДП Elit.фальц.неробоча.ВП</v>
      </c>
      <c r="CI26" s="137" t="s">
        <v>192</v>
      </c>
      <c r="CJ26" s="126" t="s">
        <v>1147</v>
      </c>
      <c r="CK26" s="127" t="str">
        <f>CONCATENATE(CI26,".",CJ26)</f>
        <v>Ручка-Замок.Ліва</v>
      </c>
      <c r="CM26" s="40" t="s">
        <v>1814</v>
      </c>
      <c r="CN26" s="239" t="s">
        <v>1585</v>
      </c>
      <c r="CO26" s="131" t="str">
        <f>CONCATENATE(CM26,".",CN26)</f>
        <v>ДП Florencia.фальц.робоча.КД ECO-FIT Plus</v>
      </c>
      <c r="CQ26" s="135" t="s">
        <v>1585</v>
      </c>
      <c r="CR26" s="149" t="s">
        <v>149</v>
      </c>
      <c r="CS26" s="130" t="str">
        <f t="shared" ref="CS26:CS32" si="28">CONCATENATE(CQ26,".",CR26)</f>
        <v>КД ECO-FIT Plus.C</v>
      </c>
      <c r="CU26" s="526"/>
      <c r="CV26" s="526"/>
      <c r="CW26" s="527"/>
      <c r="CY26" s="209" t="s">
        <v>305</v>
      </c>
      <c r="CZ26" s="210" t="s">
        <v>156</v>
      </c>
      <c r="DA26" s="226" t="s">
        <v>263</v>
      </c>
      <c r="DD26" s="600"/>
      <c r="DE26" s="601"/>
      <c r="DF26" s="604"/>
      <c r="DG26" s="605"/>
      <c r="DH26" s="606"/>
      <c r="DJ26" s="56"/>
      <c r="DK26" s="95"/>
      <c r="DL26" s="387"/>
      <c r="DM26" s="95"/>
      <c r="DN26" s="95"/>
      <c r="DP26" s="56" t="s">
        <v>1822</v>
      </c>
      <c r="DQ26" s="97">
        <v>0</v>
      </c>
      <c r="DR26" s="503">
        <f t="shared" si="20"/>
        <v>0</v>
      </c>
      <c r="DS26" s="487"/>
      <c r="DT26" s="486">
        <f t="shared" si="21"/>
        <v>0</v>
      </c>
      <c r="DU26" s="158"/>
      <c r="DV26" s="157" t="s">
        <v>1793</v>
      </c>
      <c r="DW26" s="158">
        <v>0</v>
      </c>
      <c r="DX26" s="490">
        <f t="shared" si="25"/>
        <v>0</v>
      </c>
      <c r="DY26" s="491"/>
      <c r="DZ26" s="492">
        <f t="shared" si="26"/>
        <v>0</v>
      </c>
      <c r="EB26" s="100" t="s">
        <v>660</v>
      </c>
      <c r="EC26" s="156">
        <v>195</v>
      </c>
      <c r="ED26" s="498">
        <f t="shared" si="14"/>
        <v>195</v>
      </c>
      <c r="EE26" s="493"/>
      <c r="EF26" s="494">
        <f t="shared" si="15"/>
        <v>195</v>
      </c>
      <c r="EG26" s="157"/>
      <c r="EH26" s="100" t="s">
        <v>1522</v>
      </c>
      <c r="EI26" s="156">
        <v>1740</v>
      </c>
      <c r="EJ26" s="498">
        <f>ROUND(((EI26-(EI26/6))/$DD$3)*$DE$3,2)</f>
        <v>1740</v>
      </c>
      <c r="EK26" s="493"/>
      <c r="EL26" s="494">
        <f>IF(EK26="",EJ26,
IF(AND($EI$10&gt;=VLOOKUP(EK26,$EH$5:$EL$9,2,0),$EI$10&lt;=VLOOKUP(EK26,$EH$5:$EL$9,3,0)),
(EJ26*(1-VLOOKUP(EK26,$EH$5:$EL$9,4,0))),
EJ26))</f>
        <v>1740</v>
      </c>
    </row>
    <row r="27" spans="2:142" x14ac:dyDescent="0.2">
      <c r="B27" s="29"/>
      <c r="C27" s="392" t="s">
        <v>367</v>
      </c>
      <c r="D27" s="397" t="s">
        <v>196</v>
      </c>
      <c r="E27" s="28"/>
      <c r="G27" s="20"/>
      <c r="H27" s="20"/>
      <c r="I27" s="20"/>
      <c r="J27" s="20"/>
      <c r="K27" s="20"/>
      <c r="L27" s="45" t="s">
        <v>1792</v>
      </c>
      <c r="M27" s="44" t="s">
        <v>1779</v>
      </c>
      <c r="N27" s="85" t="s">
        <v>1780</v>
      </c>
      <c r="O27" s="403" t="s">
        <v>195</v>
      </c>
      <c r="Q27" s="45" t="s">
        <v>383</v>
      </c>
      <c r="R27" s="89" t="s">
        <v>55</v>
      </c>
      <c r="S27" s="85" t="s">
        <v>278</v>
      </c>
      <c r="T27" s="20"/>
      <c r="U27" s="136" t="s">
        <v>1032</v>
      </c>
      <c r="V27" s="144" t="s">
        <v>318</v>
      </c>
      <c r="W27" s="152" t="s">
        <v>803</v>
      </c>
      <c r="X27" s="20"/>
      <c r="Y27" s="41"/>
      <c r="Z27" s="89"/>
      <c r="AA27" s="85"/>
      <c r="AB27" s="20"/>
      <c r="AF27" s="20"/>
      <c r="AJ27" s="20"/>
      <c r="AK27" s="548" t="s">
        <v>1308</v>
      </c>
      <c r="AL27" s="456" t="s">
        <v>1304</v>
      </c>
      <c r="AM27" s="550" t="s">
        <v>1314</v>
      </c>
      <c r="AN27" s="20"/>
      <c r="AO27" s="548" t="s">
        <v>1148</v>
      </c>
      <c r="AP27" s="93" t="s">
        <v>1188</v>
      </c>
      <c r="AQ27" s="550" t="s">
        <v>826</v>
      </c>
      <c r="AU27" s="128" t="s">
        <v>474</v>
      </c>
      <c r="AV27" s="140" t="s">
        <v>162</v>
      </c>
      <c r="AW27" s="130" t="str">
        <f t="shared" ref="AW27:AW85" si="29">CONCATENATE(AU27,".",AV27)</f>
        <v>ДП MILANO.5</v>
      </c>
      <c r="AY27" s="220" t="s">
        <v>1778</v>
      </c>
      <c r="AZ27" s="129" t="s">
        <v>302</v>
      </c>
      <c r="BA27" s="130" t="str">
        <f t="shared" si="1"/>
        <v>ДП Elit.1.фальц</v>
      </c>
      <c r="BB27" s="113"/>
      <c r="BC27" s="36"/>
      <c r="BD27" s="37"/>
      <c r="BE27" s="66"/>
      <c r="BF27" s="113"/>
      <c r="BG27" s="220" t="s">
        <v>1055</v>
      </c>
      <c r="BH27" s="129" t="s">
        <v>99</v>
      </c>
      <c r="BI27" s="130" t="str">
        <f t="shared" ref="BI27:BI40" si="30">CONCATENATE(BG27,".",BH27)</f>
        <v>1-стулков.60</v>
      </c>
      <c r="BK27" s="125" t="s">
        <v>480</v>
      </c>
      <c r="BL27" s="126" t="s">
        <v>1422</v>
      </c>
      <c r="BM27" s="127" t="str">
        <f t="shared" si="3"/>
        <v>ДП PIANO.ECO-Resist</v>
      </c>
      <c r="BO27" s="139" t="s">
        <v>1884</v>
      </c>
      <c r="BP27" s="20" t="s">
        <v>927</v>
      </c>
      <c r="BQ27" s="130" t="str">
        <f>CONCATENATE(BO27,".",BP27)</f>
        <v>ECO-CELL(акція).118 Дуб вибіл..</v>
      </c>
      <c r="BS27" s="36" t="s">
        <v>383</v>
      </c>
      <c r="BT27" s="44" t="s">
        <v>471</v>
      </c>
      <c r="BU27" s="66" t="str">
        <f t="shared" si="4"/>
        <v>ДП MILANO.2.Стандарт</v>
      </c>
      <c r="BW27" s="56" t="s">
        <v>1821</v>
      </c>
      <c r="BX27" s="57" t="s">
        <v>1546</v>
      </c>
      <c r="BY27" s="66" t="str">
        <f t="shared" si="17"/>
        <v>ДП Florencia.2.Лакобель</v>
      </c>
      <c r="CA27" s="220" t="s">
        <v>1777</v>
      </c>
      <c r="CB27" s="19" t="s">
        <v>1341</v>
      </c>
      <c r="CC27" s="130" t="str">
        <f t="shared" si="27"/>
        <v>ДП Elit.фальц.робоча.Stand цл Пр +3завіс</v>
      </c>
      <c r="CE27" s="217" t="s">
        <v>1785</v>
      </c>
      <c r="CF27" s="129"/>
      <c r="CG27" s="130" t="str">
        <f t="shared" si="24"/>
        <v>ДП Elit.купе.робоча.</v>
      </c>
      <c r="CI27" s="139" t="s">
        <v>192</v>
      </c>
      <c r="CJ27" s="58" t="s">
        <v>1150</v>
      </c>
      <c r="CK27" s="131" t="str">
        <f>CONCATENATE(CI27,".",CJ27)</f>
        <v>Ручка-Замок.Права</v>
      </c>
      <c r="CM27" s="40" t="s">
        <v>1815</v>
      </c>
      <c r="CN27" s="58" t="s">
        <v>929</v>
      </c>
      <c r="CO27" s="66" t="str">
        <f>CONCATENATE(CM27,".",CN27)</f>
        <v>ДП Florencia.фальц.неробоча.(ні)</v>
      </c>
      <c r="CQ27" s="135" t="s">
        <v>1585</v>
      </c>
      <c r="CR27" s="149" t="s">
        <v>150</v>
      </c>
      <c r="CS27" s="130" t="str">
        <f t="shared" si="28"/>
        <v>КД ECO-FIT Plus.D</v>
      </c>
      <c r="CY27" s="212"/>
      <c r="CZ27" s="207"/>
      <c r="DA27" s="208"/>
      <c r="DD27" s="157" t="s">
        <v>1795</v>
      </c>
      <c r="DE27" s="158">
        <v>5340</v>
      </c>
      <c r="DF27" s="490">
        <f>ROUND(((DE27-(DE27/6))/$DD$3)*$DE$3,2)</f>
        <v>5340</v>
      </c>
      <c r="DG27" s="491"/>
      <c r="DH27" s="492">
        <f>IF(DG27="",DF27,
IF(AND($DE$10&gt;=VLOOKUP(DG27,$DD$5:$DH$9,2,0),$DE$10&lt;=VLOOKUP(DG27,$DD$5:$DH$9,3,0)),
(DF27*(1-VLOOKUP(DG27,$DD$5:$DH$9,4,0))),
DF27))</f>
        <v>5340</v>
      </c>
      <c r="DJ27" s="44"/>
      <c r="DK27" s="44"/>
      <c r="DL27" s="488"/>
      <c r="DM27" s="44"/>
      <c r="DN27" s="44"/>
      <c r="DP27" s="56" t="s">
        <v>1852</v>
      </c>
      <c r="DQ27" s="97">
        <v>520</v>
      </c>
      <c r="DR27" s="503">
        <f t="shared" si="20"/>
        <v>520</v>
      </c>
      <c r="DS27" s="487"/>
      <c r="DT27" s="486">
        <f t="shared" si="21"/>
        <v>520</v>
      </c>
      <c r="DU27" s="158"/>
      <c r="DV27" s="157" t="s">
        <v>1796</v>
      </c>
      <c r="DW27" s="158">
        <v>0</v>
      </c>
      <c r="DX27" s="490">
        <f>ROUND(((DW27-(DW27/6))/$DD$3)*$DE$3,2)</f>
        <v>0</v>
      </c>
      <c r="DY27" s="491"/>
      <c r="DZ27" s="492">
        <f>IF(DY27="",DX27,
IF(AND($DW$10&gt;=VLOOKUP(DY27,$DV$5:$DZ$9,2,0),$DW$10&lt;=VLOOKUP(DY27,$DV$5:$DZ$9,3,0)),
(DX27*(1-VLOOKUP(DY27,$DV$5:$DZ$9,4,0))),
DX27))</f>
        <v>0</v>
      </c>
      <c r="EB27" s="154" t="s">
        <v>661</v>
      </c>
      <c r="EC27" s="155">
        <v>0</v>
      </c>
      <c r="ED27" s="504">
        <f t="shared" si="14"/>
        <v>0</v>
      </c>
      <c r="EE27" s="496"/>
      <c r="EF27" s="497">
        <f t="shared" si="15"/>
        <v>0</v>
      </c>
      <c r="EG27" s="157"/>
      <c r="EH27" s="505"/>
      <c r="EI27" s="506"/>
      <c r="EJ27" s="609"/>
      <c r="EK27" s="610"/>
      <c r="EL27" s="611"/>
    </row>
    <row r="28" spans="2:142" x14ac:dyDescent="0.2">
      <c r="B28" s="29"/>
      <c r="C28" s="392" t="s">
        <v>1585</v>
      </c>
      <c r="D28" s="397" t="s">
        <v>196</v>
      </c>
      <c r="E28" s="28"/>
      <c r="G28" s="20"/>
      <c r="H28" s="20"/>
      <c r="I28" s="20"/>
      <c r="J28" s="20"/>
      <c r="K28" s="20"/>
      <c r="L28" s="45" t="s">
        <v>1794</v>
      </c>
      <c r="M28" s="44" t="s">
        <v>1779</v>
      </c>
      <c r="N28" s="85" t="s">
        <v>1780</v>
      </c>
      <c r="O28" s="403" t="s">
        <v>195</v>
      </c>
      <c r="Q28" s="45" t="s">
        <v>384</v>
      </c>
      <c r="R28" s="93" t="s">
        <v>56</v>
      </c>
      <c r="S28" s="92" t="s">
        <v>279</v>
      </c>
      <c r="T28" s="20"/>
      <c r="U28" s="415"/>
      <c r="V28" s="416"/>
      <c r="W28" s="151"/>
      <c r="X28" s="20"/>
      <c r="Y28" s="45"/>
      <c r="Z28" s="89"/>
      <c r="AA28" s="85"/>
      <c r="AB28" s="20"/>
      <c r="AF28" s="20"/>
      <c r="AJ28" s="20"/>
      <c r="AK28" s="543" t="s">
        <v>1309</v>
      </c>
      <c r="AL28" s="456" t="s">
        <v>332</v>
      </c>
      <c r="AM28" s="544" t="s">
        <v>1315</v>
      </c>
      <c r="AN28" s="20"/>
      <c r="AO28" s="545" t="s">
        <v>1151</v>
      </c>
      <c r="AP28" s="144" t="s">
        <v>66</v>
      </c>
      <c r="AQ28" s="546" t="s">
        <v>827</v>
      </c>
      <c r="AU28" s="128" t="s">
        <v>474</v>
      </c>
      <c r="AV28" s="140" t="s">
        <v>163</v>
      </c>
      <c r="AW28" s="130" t="str">
        <f t="shared" si="29"/>
        <v>ДП MILANO.6</v>
      </c>
      <c r="AY28" s="209" t="s">
        <v>1778</v>
      </c>
      <c r="AZ28" s="58" t="s">
        <v>303</v>
      </c>
      <c r="BA28" s="131" t="str">
        <f t="shared" si="1"/>
        <v>ДП Elit.1.купе</v>
      </c>
      <c r="BB28" s="113"/>
      <c r="BC28" s="525"/>
      <c r="BD28" s="526"/>
      <c r="BE28" s="527"/>
      <c r="BF28" s="113"/>
      <c r="BG28" s="220" t="s">
        <v>1055</v>
      </c>
      <c r="BH28" s="129" t="s">
        <v>100</v>
      </c>
      <c r="BI28" s="130" t="str">
        <f t="shared" si="30"/>
        <v>1-стулков.70</v>
      </c>
      <c r="BK28" s="125" t="s">
        <v>1737</v>
      </c>
      <c r="BL28" s="126" t="s">
        <v>482</v>
      </c>
      <c r="BM28" s="127" t="str">
        <f t="shared" si="3"/>
        <v>ДП Viva.ECO-Cell</v>
      </c>
      <c r="BS28" s="36" t="s">
        <v>384</v>
      </c>
      <c r="BT28" s="44" t="s">
        <v>471</v>
      </c>
      <c r="BU28" s="66" t="str">
        <f t="shared" si="4"/>
        <v>ДП MILANO.3.Стандарт</v>
      </c>
      <c r="BW28" s="208"/>
      <c r="BX28" s="208"/>
      <c r="BY28" s="208"/>
      <c r="CA28" s="220" t="s">
        <v>1777</v>
      </c>
      <c r="CC28" s="130"/>
      <c r="CE28" s="220" t="s">
        <v>1785</v>
      </c>
      <c r="CF28" s="58" t="s">
        <v>953</v>
      </c>
      <c r="CG28" s="131" t="str">
        <f t="shared" si="24"/>
        <v>ДП Elit.купе.робоча.ВВ</v>
      </c>
      <c r="CI28" s="213"/>
      <c r="CJ28" s="207"/>
      <c r="CK28" s="208"/>
      <c r="CM28" s="36" t="s">
        <v>1816</v>
      </c>
      <c r="CN28" s="52" t="s">
        <v>367</v>
      </c>
      <c r="CO28" s="66" t="str">
        <f>CONCATENATE(CM28,".",CN28)</f>
        <v>ДП Florencia.купе.робоча.КД ECO-FIT</v>
      </c>
      <c r="CQ28" s="135" t="s">
        <v>1585</v>
      </c>
      <c r="CR28" s="149" t="s">
        <v>151</v>
      </c>
      <c r="CS28" s="130" t="str">
        <f t="shared" si="28"/>
        <v>КД ECO-FIT Plus.E</v>
      </c>
      <c r="CY28" s="733"/>
      <c r="CZ28" s="410"/>
      <c r="DA28" s="411"/>
      <c r="DD28" s="157" t="s">
        <v>1798</v>
      </c>
      <c r="DE28" s="158">
        <v>6190</v>
      </c>
      <c r="DF28" s="490">
        <f>ROUND(((DE28-(DE28/6))/$DD$3)*$DE$3,2)</f>
        <v>6190</v>
      </c>
      <c r="DG28" s="491"/>
      <c r="DH28" s="492">
        <f>IF(DG28="",DF28,
IF(AND($DE$10&gt;=VLOOKUP(DG28,$DD$5:$DH$9,2,0),$DE$10&lt;=VLOOKUP(DG28,$DD$5:$DH$9,3,0)),
(DF28*(1-VLOOKUP(DG28,$DD$5:$DH$9,4,0))),
DF28))</f>
        <v>6190</v>
      </c>
      <c r="DJ28" s="44"/>
      <c r="DK28" s="44"/>
      <c r="DL28" s="488"/>
      <c r="DM28" s="44"/>
      <c r="DN28" s="44"/>
      <c r="DP28" s="241"/>
      <c r="DQ28" s="242"/>
      <c r="DR28" s="489"/>
      <c r="DS28" s="499"/>
      <c r="DT28" s="244"/>
      <c r="DU28" s="158"/>
      <c r="DV28" s="157" t="s">
        <v>1799</v>
      </c>
      <c r="DW28" s="158">
        <v>0</v>
      </c>
      <c r="DX28" s="490">
        <f t="shared" si="25"/>
        <v>0</v>
      </c>
      <c r="DY28" s="491"/>
      <c r="DZ28" s="492">
        <f t="shared" si="26"/>
        <v>0</v>
      </c>
      <c r="EB28" s="157" t="s">
        <v>958</v>
      </c>
      <c r="EC28" s="158">
        <v>290</v>
      </c>
      <c r="ED28" s="490">
        <f t="shared" si="14"/>
        <v>290</v>
      </c>
      <c r="EE28" s="491"/>
      <c r="EF28" s="492">
        <f t="shared" si="15"/>
        <v>290</v>
      </c>
      <c r="EG28" s="157"/>
      <c r="EH28" s="154" t="s">
        <v>1059</v>
      </c>
      <c r="EI28" s="155">
        <v>0</v>
      </c>
      <c r="EJ28" s="504">
        <f>ROUND(((EI28-(EI28/6))/$DD$3)*$DE$3,2)</f>
        <v>0</v>
      </c>
      <c r="EK28" s="496"/>
      <c r="EL28" s="497">
        <f>IF(EK28="",EJ28,
IF(AND($EI$10&gt;=VLOOKUP(EK28,$EH$5:$EL$9,2,0),$EI$10&lt;=VLOOKUP(EK28,$EH$5:$EL$9,3,0)),
(EJ28*(1-VLOOKUP(EK28,$EH$5:$EL$9,4,0))),
EJ28))</f>
        <v>0</v>
      </c>
    </row>
    <row r="29" spans="2:142" x14ac:dyDescent="0.2">
      <c r="B29" s="29"/>
      <c r="C29" s="734"/>
      <c r="D29" s="735"/>
      <c r="E29" s="28"/>
      <c r="G29" s="20"/>
      <c r="H29" s="20"/>
      <c r="I29" s="20"/>
      <c r="J29" s="20"/>
      <c r="K29" s="20"/>
      <c r="L29" s="45" t="s">
        <v>1797</v>
      </c>
      <c r="M29" s="44" t="s">
        <v>1779</v>
      </c>
      <c r="N29" s="85" t="s">
        <v>1780</v>
      </c>
      <c r="O29" s="403" t="s">
        <v>195</v>
      </c>
      <c r="Q29" s="136" t="s">
        <v>385</v>
      </c>
      <c r="R29" s="89" t="s">
        <v>57</v>
      </c>
      <c r="S29" s="85" t="s">
        <v>280</v>
      </c>
      <c r="T29" s="20"/>
      <c r="U29" s="135"/>
      <c r="V29" s="143"/>
      <c r="W29" s="151"/>
      <c r="X29" s="20"/>
      <c r="Y29" s="45"/>
      <c r="Z29" s="89"/>
      <c r="AA29" s="85"/>
      <c r="AB29" s="20"/>
      <c r="AF29" s="20"/>
      <c r="AJ29" s="20"/>
      <c r="AK29" s="543" t="s">
        <v>1310</v>
      </c>
      <c r="AL29" s="456" t="s">
        <v>1305</v>
      </c>
      <c r="AM29" s="544" t="s">
        <v>1316</v>
      </c>
      <c r="AN29" s="20"/>
      <c r="AO29" s="548" t="s">
        <v>1149</v>
      </c>
      <c r="AP29" s="93" t="s">
        <v>1188</v>
      </c>
      <c r="AQ29" s="550" t="s">
        <v>826</v>
      </c>
      <c r="AU29" s="128" t="s">
        <v>474</v>
      </c>
      <c r="AV29" s="140" t="s">
        <v>186</v>
      </c>
      <c r="AW29" s="130" t="str">
        <f t="shared" si="29"/>
        <v>ДП MILANO.7</v>
      </c>
      <c r="AY29" s="220" t="s">
        <v>1781</v>
      </c>
      <c r="AZ29" s="129" t="s">
        <v>302</v>
      </c>
      <c r="BA29" s="130" t="str">
        <f t="shared" si="1"/>
        <v>ДП Elit.2.фальц</v>
      </c>
      <c r="BC29" s="36"/>
      <c r="BD29" s="37"/>
      <c r="BE29" s="66"/>
      <c r="BF29" s="113"/>
      <c r="BG29" s="220" t="s">
        <v>1055</v>
      </c>
      <c r="BH29" s="129" t="s">
        <v>101</v>
      </c>
      <c r="BI29" s="130" t="str">
        <f t="shared" si="30"/>
        <v>1-стулков.80</v>
      </c>
      <c r="BK29" s="125" t="s">
        <v>1737</v>
      </c>
      <c r="BL29" s="126" t="s">
        <v>1422</v>
      </c>
      <c r="BM29" s="127" t="str">
        <f t="shared" si="3"/>
        <v>ДП Viva.ECO-Resist</v>
      </c>
      <c r="BS29" s="36" t="s">
        <v>385</v>
      </c>
      <c r="BT29" s="44" t="s">
        <v>471</v>
      </c>
      <c r="BU29" s="66" t="str">
        <f t="shared" si="4"/>
        <v>ДП MILANO.4.Стандарт</v>
      </c>
      <c r="BW29" s="56" t="s">
        <v>381</v>
      </c>
      <c r="BX29" s="57" t="s">
        <v>929</v>
      </c>
      <c r="BY29" s="66" t="str">
        <f t="shared" ref="BY29:BY53" si="31">CONCATENATE(BW29,".",BX29)</f>
        <v>ДП MILANO.1.(ні)</v>
      </c>
      <c r="CA29" s="220" t="s">
        <v>1777</v>
      </c>
      <c r="CB29" s="19" t="s">
        <v>1344</v>
      </c>
      <c r="CC29" s="130" t="str">
        <f t="shared" si="27"/>
        <v>ДП Elit.фальц.робоча.Stand ст Лів +3завіс</v>
      </c>
      <c r="CE29" s="511"/>
      <c r="CF29" s="509"/>
      <c r="CG29" s="510"/>
      <c r="CI29" s="138"/>
      <c r="CJ29" s="129"/>
      <c r="CK29" s="225"/>
      <c r="CM29" s="412"/>
      <c r="CN29" s="407"/>
      <c r="CO29" s="408"/>
      <c r="CQ29" s="135" t="s">
        <v>1585</v>
      </c>
      <c r="CR29" s="149" t="s">
        <v>152</v>
      </c>
      <c r="CS29" s="130" t="str">
        <f t="shared" si="28"/>
        <v>КД ECO-FIT Plus.F</v>
      </c>
      <c r="CY29" s="217">
        <v>40</v>
      </c>
      <c r="CZ29" s="126" t="s">
        <v>208</v>
      </c>
      <c r="DA29" s="127" t="s">
        <v>920</v>
      </c>
      <c r="DD29" s="157" t="s">
        <v>1801</v>
      </c>
      <c r="DE29" s="158">
        <v>5340</v>
      </c>
      <c r="DF29" s="490">
        <f>ROUND(((DE29-(DE29/6))/$DD$3)*$DE$3,2)</f>
        <v>5340</v>
      </c>
      <c r="DG29" s="491"/>
      <c r="DH29" s="492">
        <f>IF(DG29="",DF29,
IF(AND($DE$10&gt;=VLOOKUP(DG29,$DD$5:$DH$9,2,0),$DE$10&lt;=VLOOKUP(DG29,$DD$5:$DH$9,3,0)),
(DF29*(1-VLOOKUP(DG29,$DD$5:$DH$9,4,0))),
DF29))</f>
        <v>5340</v>
      </c>
      <c r="DJ29" s="521"/>
      <c r="DK29" s="521"/>
      <c r="DL29" s="602"/>
      <c r="DM29" s="521"/>
      <c r="DN29" s="521"/>
      <c r="DP29" s="56" t="s">
        <v>936</v>
      </c>
      <c r="DQ29" s="97">
        <v>0</v>
      </c>
      <c r="DR29" s="503">
        <f t="shared" si="20"/>
        <v>0</v>
      </c>
      <c r="DS29" s="487"/>
      <c r="DT29" s="486">
        <f t="shared" si="21"/>
        <v>0</v>
      </c>
      <c r="DU29" s="158"/>
      <c r="DV29" s="157" t="s">
        <v>1802</v>
      </c>
      <c r="DW29" s="158">
        <v>0</v>
      </c>
      <c r="DX29" s="490">
        <f>ROUND(((DW29-(DW29/6))/$DD$3)*$DE$3,2)</f>
        <v>0</v>
      </c>
      <c r="DY29" s="491"/>
      <c r="DZ29" s="492">
        <f>IF(DY29="",DX29,
IF(AND($DW$10&gt;=VLOOKUP(DY29,$DV$5:$DZ$9,2,0),$DW$10&lt;=VLOOKUP(DY29,$DV$5:$DZ$9,3,0)),
(DX29*(1-VLOOKUP(DY29,$DV$5:$DZ$9,4,0))),
DX29))</f>
        <v>0</v>
      </c>
      <c r="EB29" s="100" t="s">
        <v>662</v>
      </c>
      <c r="EC29" s="156">
        <v>195</v>
      </c>
      <c r="ED29" s="498">
        <f t="shared" si="14"/>
        <v>195</v>
      </c>
      <c r="EE29" s="493"/>
      <c r="EF29" s="494">
        <f t="shared" si="15"/>
        <v>195</v>
      </c>
      <c r="EG29" s="157"/>
      <c r="EH29" s="154" t="s">
        <v>1523</v>
      </c>
      <c r="EI29" s="155">
        <v>0</v>
      </c>
      <c r="EJ29" s="504">
        <f>ROUND(((EI29-(EI29/6))/$DD$3)*$DE$3,2)</f>
        <v>0</v>
      </c>
      <c r="EK29" s="496"/>
      <c r="EL29" s="497">
        <f>IF(EK29="",EJ29,
IF(AND($EI$10&gt;=VLOOKUP(EK29,$EH$5:$EL$9,2,0),$EI$10&lt;=VLOOKUP(EK29,$EH$5:$EL$9,3,0)),
(EJ29*(1-VLOOKUP(EK29,$EH$5:$EL$9,4,0))),
EJ29))</f>
        <v>0</v>
      </c>
    </row>
    <row r="30" spans="2:142" ht="10.8" thickBot="1" x14ac:dyDescent="0.25">
      <c r="B30" s="29"/>
      <c r="C30" s="393" t="s">
        <v>368</v>
      </c>
      <c r="D30" s="398" t="s">
        <v>196</v>
      </c>
      <c r="E30" s="28"/>
      <c r="G30" s="20"/>
      <c r="H30" s="20"/>
      <c r="I30" s="20"/>
      <c r="J30" s="20"/>
      <c r="K30" s="20"/>
      <c r="L30" s="45" t="s">
        <v>1800</v>
      </c>
      <c r="M30" s="44" t="s">
        <v>1779</v>
      </c>
      <c r="N30" s="85" t="s">
        <v>1780</v>
      </c>
      <c r="O30" s="403" t="s">
        <v>195</v>
      </c>
      <c r="Q30" s="136" t="s">
        <v>386</v>
      </c>
      <c r="R30" s="89" t="s">
        <v>58</v>
      </c>
      <c r="S30" s="85" t="s">
        <v>281</v>
      </c>
      <c r="T30" s="20"/>
      <c r="U30" s="536"/>
      <c r="V30" s="537"/>
      <c r="W30" s="538"/>
      <c r="X30" s="20"/>
      <c r="Y30" s="528"/>
      <c r="Z30" s="539"/>
      <c r="AA30" s="521"/>
      <c r="AB30" s="20"/>
      <c r="AF30" s="20"/>
      <c r="AJ30" s="20"/>
      <c r="AK30" s="545" t="s">
        <v>1311</v>
      </c>
      <c r="AL30" s="551" t="s">
        <v>333</v>
      </c>
      <c r="AM30" s="546" t="s">
        <v>1317</v>
      </c>
      <c r="AN30" s="20"/>
      <c r="AO30" s="545" t="s">
        <v>1152</v>
      </c>
      <c r="AP30" s="144" t="s">
        <v>66</v>
      </c>
      <c r="AQ30" s="546" t="s">
        <v>827</v>
      </c>
      <c r="AU30" s="128" t="s">
        <v>474</v>
      </c>
      <c r="AV30" s="140" t="s">
        <v>475</v>
      </c>
      <c r="AW30" s="130" t="str">
        <f t="shared" si="29"/>
        <v>ДП MILANO.8</v>
      </c>
      <c r="AY30" s="209" t="s">
        <v>1781</v>
      </c>
      <c r="AZ30" s="58" t="s">
        <v>303</v>
      </c>
      <c r="BA30" s="131" t="str">
        <f t="shared" si="1"/>
        <v>ДП Elit.2.купе</v>
      </c>
      <c r="BC30" s="125" t="s">
        <v>118</v>
      </c>
      <c r="BD30" s="126" t="s">
        <v>1055</v>
      </c>
      <c r="BE30" s="127" t="str">
        <f>CONCATENATE(BC30,".",BD30)</f>
        <v>комплект.1-стулков</v>
      </c>
      <c r="BF30" s="113"/>
      <c r="BG30" s="220" t="s">
        <v>1055</v>
      </c>
      <c r="BH30" s="129" t="s">
        <v>102</v>
      </c>
      <c r="BI30" s="130" t="str">
        <f t="shared" si="30"/>
        <v>1-стулков.90</v>
      </c>
      <c r="BK30" s="125" t="s">
        <v>481</v>
      </c>
      <c r="BL30" s="126" t="s">
        <v>482</v>
      </c>
      <c r="BM30" s="127" t="str">
        <f t="shared" si="3"/>
        <v>ДП VIENTO.ECO-Cell</v>
      </c>
      <c r="BO30" s="41"/>
      <c r="BP30" s="52"/>
      <c r="BQ30" s="66"/>
      <c r="BS30" s="36" t="s">
        <v>386</v>
      </c>
      <c r="BT30" s="44" t="s">
        <v>471</v>
      </c>
      <c r="BU30" s="66" t="str">
        <f t="shared" si="4"/>
        <v>ДП MILANO.5.Стандарт</v>
      </c>
      <c r="BW30" s="56" t="s">
        <v>383</v>
      </c>
      <c r="BX30" s="57" t="s">
        <v>139</v>
      </c>
      <c r="BY30" s="66" t="str">
        <f t="shared" si="31"/>
        <v>ДП MILANO.2.Сатин</v>
      </c>
      <c r="CA30" s="220" t="s">
        <v>1777</v>
      </c>
      <c r="CB30" s="19" t="s">
        <v>1345</v>
      </c>
      <c r="CC30" s="130" t="str">
        <f t="shared" si="27"/>
        <v>ДП Elit.фальц.робоча.Stand ст Пр +3завіс</v>
      </c>
      <c r="CE30" s="217" t="s">
        <v>1814</v>
      </c>
      <c r="CF30" s="129"/>
      <c r="CG30" s="130" t="str">
        <f t="shared" ref="CG30:CG37" si="32">CONCATENATE(CE30,".",CF30)</f>
        <v>ДП Florencia.фальц.робоча.</v>
      </c>
      <c r="CI30" s="531"/>
      <c r="CJ30" s="523"/>
      <c r="CK30" s="524"/>
      <c r="CM30" s="128" t="s">
        <v>1033</v>
      </c>
      <c r="CN30" s="129" t="s">
        <v>366</v>
      </c>
      <c r="CO30" s="130" t="str">
        <f>CONCATENATE(CM30,".",CN30)</f>
        <v>ДП MILANO.фальц.робоча.КД Classic</v>
      </c>
      <c r="CQ30" s="135" t="s">
        <v>1585</v>
      </c>
      <c r="CR30" s="149" t="s">
        <v>153</v>
      </c>
      <c r="CS30" s="130" t="str">
        <f t="shared" si="28"/>
        <v>КД ECO-FIT Plus.G</v>
      </c>
      <c r="CY30" s="217" t="s">
        <v>99</v>
      </c>
      <c r="CZ30" s="126" t="s">
        <v>99</v>
      </c>
      <c r="DA30" s="127" t="s">
        <v>920</v>
      </c>
      <c r="DD30" s="157" t="s">
        <v>1804</v>
      </c>
      <c r="DE30" s="158">
        <v>6190</v>
      </c>
      <c r="DF30" s="490">
        <f>ROUND(((DE30-(DE30/6))/$DD$3)*$DE$3,2)</f>
        <v>6190</v>
      </c>
      <c r="DG30" s="491"/>
      <c r="DH30" s="492">
        <f>IF(DG30="",DF30,
IF(AND($DE$10&gt;=VLOOKUP(DG30,$DD$5:$DH$9,2,0),$DE$10&lt;=VLOOKUP(DG30,$DD$5:$DH$9,3,0)),
(DF30*(1-VLOOKUP(DG30,$DD$5:$DH$9,4,0))),
DF30))</f>
        <v>6190</v>
      </c>
      <c r="DP30" s="56" t="s">
        <v>591</v>
      </c>
      <c r="DQ30" s="97">
        <v>0</v>
      </c>
      <c r="DR30" s="503">
        <f t="shared" si="20"/>
        <v>0</v>
      </c>
      <c r="DS30" s="487"/>
      <c r="DT30" s="486">
        <f t="shared" si="21"/>
        <v>0</v>
      </c>
      <c r="DU30" s="158"/>
      <c r="DV30" s="56" t="s">
        <v>1805</v>
      </c>
      <c r="DW30" s="97">
        <v>0</v>
      </c>
      <c r="DX30" s="607">
        <f t="shared" si="25"/>
        <v>0</v>
      </c>
      <c r="DY30" s="487"/>
      <c r="DZ30" s="486">
        <f t="shared" si="26"/>
        <v>0</v>
      </c>
      <c r="EB30" s="157" t="s">
        <v>663</v>
      </c>
      <c r="EC30" s="158">
        <v>0</v>
      </c>
      <c r="ED30" s="490">
        <f t="shared" si="14"/>
        <v>0</v>
      </c>
      <c r="EE30" s="491"/>
      <c r="EF30" s="497">
        <f t="shared" si="15"/>
        <v>0</v>
      </c>
      <c r="EG30" s="157"/>
      <c r="EH30" s="100" t="s">
        <v>1060</v>
      </c>
      <c r="EI30" s="156">
        <v>1510</v>
      </c>
      <c r="EJ30" s="498">
        <f>ROUND(((EI30-(EI30/6))/$DD$3)*$DE$3,2)</f>
        <v>1510</v>
      </c>
      <c r="EK30" s="493"/>
      <c r="EL30" s="494">
        <f>IF(EK30="",EJ30,
IF(AND($EI$10&gt;=VLOOKUP(EK30,$EH$5:$EL$9,2,0),$EI$10&lt;=VLOOKUP(EK30,$EH$5:$EL$9,3,0)),
(EJ30*(1-VLOOKUP(EK30,$EH$5:$EL$9,4,0))),
EJ30))</f>
        <v>1510</v>
      </c>
    </row>
    <row r="31" spans="2:142" x14ac:dyDescent="0.2">
      <c r="B31" s="29"/>
      <c r="C31" s="239"/>
      <c r="D31" s="239"/>
      <c r="E31" s="28"/>
      <c r="G31" s="20"/>
      <c r="H31" s="20"/>
      <c r="I31" s="20"/>
      <c r="J31" s="20"/>
      <c r="K31" s="20"/>
      <c r="L31" s="136" t="s">
        <v>1803</v>
      </c>
      <c r="M31" s="44" t="s">
        <v>1779</v>
      </c>
      <c r="N31" s="85" t="s">
        <v>1780</v>
      </c>
      <c r="O31" s="403" t="s">
        <v>195</v>
      </c>
      <c r="P31" s="20"/>
      <c r="Q31" s="41" t="s">
        <v>387</v>
      </c>
      <c r="R31" s="89" t="s">
        <v>59</v>
      </c>
      <c r="S31" s="85" t="s">
        <v>282</v>
      </c>
      <c r="T31" s="20"/>
      <c r="U31" s="135"/>
      <c r="V31" s="143"/>
      <c r="W31" s="151"/>
      <c r="X31" s="20"/>
      <c r="AB31" s="20"/>
      <c r="AF31" s="20"/>
      <c r="AJ31" s="20"/>
      <c r="AK31" s="545" t="s">
        <v>1312</v>
      </c>
      <c r="AL31" s="551" t="s">
        <v>1306</v>
      </c>
      <c r="AM31" s="546" t="s">
        <v>1318</v>
      </c>
      <c r="AN31" s="20"/>
      <c r="AO31" s="552"/>
      <c r="AP31" s="455"/>
      <c r="AQ31" s="553"/>
      <c r="AU31" s="128" t="s">
        <v>474</v>
      </c>
      <c r="AV31" s="140" t="s">
        <v>476</v>
      </c>
      <c r="AW31" s="130" t="str">
        <f t="shared" si="29"/>
        <v>ДП MILANO.9</v>
      </c>
      <c r="AY31" s="657"/>
      <c r="AZ31" s="658"/>
      <c r="BA31" s="659"/>
      <c r="BC31" s="40" t="s">
        <v>118</v>
      </c>
      <c r="BD31" s="58" t="s">
        <v>1057</v>
      </c>
      <c r="BE31" s="131" t="str">
        <f>CONCATENATE(BC31,".",BD31)</f>
        <v>комплект.2-стулков</v>
      </c>
      <c r="BF31" s="113"/>
      <c r="BG31" s="209" t="s">
        <v>1055</v>
      </c>
      <c r="BH31" s="58" t="s">
        <v>103</v>
      </c>
      <c r="BI31" s="131" t="str">
        <f t="shared" si="30"/>
        <v>1-стулков.100</v>
      </c>
      <c r="BK31" s="125" t="s">
        <v>481</v>
      </c>
      <c r="BL31" s="126" t="s">
        <v>1422</v>
      </c>
      <c r="BM31" s="127" t="str">
        <f t="shared" si="3"/>
        <v>ДП VIENTO.ECO-Resist</v>
      </c>
      <c r="BO31" s="45"/>
      <c r="BP31" s="37"/>
      <c r="BQ31" s="66"/>
      <c r="BS31" s="36" t="s">
        <v>387</v>
      </c>
      <c r="BT31" s="44" t="s">
        <v>471</v>
      </c>
      <c r="BU31" s="66" t="str">
        <f t="shared" si="4"/>
        <v>ДП MILANO.6.Стандарт</v>
      </c>
      <c r="BW31" s="56" t="s">
        <v>383</v>
      </c>
      <c r="BX31" s="57" t="s">
        <v>1546</v>
      </c>
      <c r="BY31" s="66" t="str">
        <f t="shared" si="31"/>
        <v>ДП MILANO.2.Лакобель</v>
      </c>
      <c r="CA31" s="217" t="s">
        <v>1782</v>
      </c>
      <c r="CB31" s="126" t="s">
        <v>929</v>
      </c>
      <c r="CC31" s="127" t="str">
        <f t="shared" si="27"/>
        <v>ДП Elit.фальц.неробоча.(ні)</v>
      </c>
      <c r="CE31" s="220" t="s">
        <v>1814</v>
      </c>
      <c r="CF31" s="129" t="s">
        <v>953</v>
      </c>
      <c r="CG31" s="130" t="str">
        <f t="shared" si="32"/>
        <v>ДП Florencia.фальц.робоча.ВВ</v>
      </c>
      <c r="CI31" s="138"/>
      <c r="CJ31" s="129"/>
      <c r="CK31" s="225"/>
      <c r="CM31" s="40" t="s">
        <v>1033</v>
      </c>
      <c r="CN31" s="58" t="s">
        <v>367</v>
      </c>
      <c r="CO31" s="131" t="str">
        <f>CONCATENATE(CM31,".",CN31)</f>
        <v>ДП MILANO.фальц.робоча.КД ECO-FIT</v>
      </c>
      <c r="CQ31" s="135" t="s">
        <v>1585</v>
      </c>
      <c r="CR31" s="149" t="s">
        <v>154</v>
      </c>
      <c r="CS31" s="130" t="str">
        <f t="shared" si="28"/>
        <v>КД ECO-FIT Plus.H</v>
      </c>
      <c r="CY31" s="138" t="s">
        <v>100</v>
      </c>
      <c r="CZ31" s="129" t="s">
        <v>100</v>
      </c>
      <c r="DA31" s="130" t="s">
        <v>920</v>
      </c>
      <c r="DD31" s="595"/>
      <c r="DE31" s="596"/>
      <c r="DF31" s="597"/>
      <c r="DG31" s="598"/>
      <c r="DH31" s="599"/>
      <c r="DP31" s="56" t="s">
        <v>1549</v>
      </c>
      <c r="DQ31" s="97">
        <v>520</v>
      </c>
      <c r="DR31" s="503">
        <f>ROUND(((DQ31-(DQ31/6))/$DD$3)*$DE$3,2)</f>
        <v>520</v>
      </c>
      <c r="DS31" s="487"/>
      <c r="DT31" s="486">
        <f>IF(DS31="",DR31,
IF(AND($DQ$10&gt;=VLOOKUP(DS31,$DP$5:$DT$9,2,0),$DQ$10&lt;=VLOOKUP(DS31,$DP$5:$DT$9,3,0)),
(DR31*(1-VLOOKUP(DS31,$DP$5:$DT$9,4,0))),
DR31))</f>
        <v>520</v>
      </c>
      <c r="DU31" s="158"/>
      <c r="DV31" s="157" t="s">
        <v>1806</v>
      </c>
      <c r="DW31" s="158">
        <v>0</v>
      </c>
      <c r="DX31" s="490">
        <f t="shared" si="25"/>
        <v>0</v>
      </c>
      <c r="DY31" s="491"/>
      <c r="DZ31" s="492">
        <f t="shared" si="26"/>
        <v>0</v>
      </c>
      <c r="EB31" s="157" t="s">
        <v>959</v>
      </c>
      <c r="EC31" s="158">
        <v>290</v>
      </c>
      <c r="ED31" s="490">
        <f t="shared" si="14"/>
        <v>290</v>
      </c>
      <c r="EE31" s="491"/>
      <c r="EF31" s="492">
        <f t="shared" si="15"/>
        <v>290</v>
      </c>
      <c r="EG31" s="157"/>
      <c r="EH31" s="100" t="s">
        <v>1524</v>
      </c>
      <c r="EI31" s="156">
        <v>1790</v>
      </c>
      <c r="EJ31" s="498">
        <f>ROUND(((EI31-(EI31/6))/$DD$3)*$DE$3,2)</f>
        <v>1790</v>
      </c>
      <c r="EK31" s="493"/>
      <c r="EL31" s="494">
        <f>IF(EK31="",EJ31,
IF(AND($EI$10&gt;=VLOOKUP(EK31,$EH$5:$EL$9,2,0),$EI$10&lt;=VLOOKUP(EK31,$EH$5:$EL$9,3,0)),
(EJ31*(1-VLOOKUP(EK31,$EH$5:$EL$9,4,0))),
EJ31))</f>
        <v>1790</v>
      </c>
    </row>
    <row r="32" spans="2:142" ht="10.8" thickBot="1" x14ac:dyDescent="0.25">
      <c r="B32" s="29"/>
      <c r="C32" s="87" t="s">
        <v>116</v>
      </c>
      <c r="D32" s="32" t="s">
        <v>194</v>
      </c>
      <c r="E32" s="28"/>
      <c r="G32" s="20"/>
      <c r="H32" s="20"/>
      <c r="I32" s="20"/>
      <c r="J32" s="20"/>
      <c r="K32" s="20"/>
      <c r="L32" s="54"/>
      <c r="M32" s="44"/>
      <c r="N32" s="85"/>
      <c r="O32" s="403"/>
      <c r="Q32" s="41" t="s">
        <v>388</v>
      </c>
      <c r="R32" s="89" t="s">
        <v>184</v>
      </c>
      <c r="S32" s="85" t="s">
        <v>185</v>
      </c>
      <c r="T32" s="20"/>
      <c r="U32" s="145" t="s">
        <v>1066</v>
      </c>
      <c r="V32" s="93" t="s">
        <v>81</v>
      </c>
      <c r="W32" s="92" t="s">
        <v>771</v>
      </c>
      <c r="X32" s="20"/>
      <c r="AB32" s="20"/>
      <c r="AF32" s="20"/>
      <c r="AJ32" s="20"/>
      <c r="AK32" s="552"/>
      <c r="AL32" s="455"/>
      <c r="AM32" s="553"/>
      <c r="AN32" s="20"/>
      <c r="AO32" s="543"/>
      <c r="AP32" s="456"/>
      <c r="AQ32" s="544"/>
      <c r="AS32" s="20"/>
      <c r="AU32" s="128" t="s">
        <v>474</v>
      </c>
      <c r="AV32" s="140" t="s">
        <v>462</v>
      </c>
      <c r="AW32" s="130" t="str">
        <f t="shared" si="29"/>
        <v>ДП MILANO.1A</v>
      </c>
      <c r="AY32" s="220" t="s">
        <v>1817</v>
      </c>
      <c r="AZ32" s="129" t="s">
        <v>302</v>
      </c>
      <c r="BA32" s="130" t="str">
        <f t="shared" si="1"/>
        <v>ДП Florencia.1.фальц</v>
      </c>
      <c r="BC32" s="412"/>
      <c r="BD32" s="207"/>
      <c r="BE32" s="208"/>
      <c r="BF32" s="113"/>
      <c r="BG32" s="220" t="s">
        <v>1057</v>
      </c>
      <c r="BH32" s="129" t="s">
        <v>106</v>
      </c>
      <c r="BI32" s="130" t="str">
        <f t="shared" si="30"/>
        <v>2-стулков.(100)</v>
      </c>
      <c r="BK32" s="125" t="s">
        <v>1838</v>
      </c>
      <c r="BL32" s="126" t="s">
        <v>482</v>
      </c>
      <c r="BM32" s="127" t="str">
        <f t="shared" si="3"/>
        <v>ДП Neapol.ECO-Cell</v>
      </c>
      <c r="BO32" s="45"/>
      <c r="BP32" s="37"/>
      <c r="BQ32" s="66"/>
      <c r="BS32" s="36" t="s">
        <v>388</v>
      </c>
      <c r="BT32" s="44" t="s">
        <v>471</v>
      </c>
      <c r="BU32" s="66" t="str">
        <f t="shared" si="4"/>
        <v>ДП MILANO.7.Стандарт</v>
      </c>
      <c r="BW32" s="56" t="s">
        <v>384</v>
      </c>
      <c r="BX32" s="57" t="s">
        <v>139</v>
      </c>
      <c r="BY32" s="66" t="str">
        <f t="shared" si="31"/>
        <v>ДП MILANO.3.Сатин</v>
      </c>
      <c r="CA32" s="220" t="s">
        <v>1782</v>
      </c>
      <c r="CB32" s="19" t="s">
        <v>1156</v>
      </c>
      <c r="CC32" s="130" t="str">
        <f t="shared" si="27"/>
        <v>ДП Elit.фальц.неробоча.Пл Stand +3завіс</v>
      </c>
      <c r="CE32" s="209" t="s">
        <v>1814</v>
      </c>
      <c r="CF32" s="58" t="s">
        <v>198</v>
      </c>
      <c r="CG32" s="131" t="str">
        <f t="shared" si="32"/>
        <v>ДП Florencia.фальц.робоча.ВП</v>
      </c>
      <c r="CI32" s="213"/>
      <c r="CJ32" s="207"/>
      <c r="CK32" s="208"/>
      <c r="CM32" s="40" t="s">
        <v>1033</v>
      </c>
      <c r="CN32" s="239" t="s">
        <v>1585</v>
      </c>
      <c r="CO32" s="131" t="str">
        <f>CONCATENATE(CM32,".",CN32)</f>
        <v>ДП MILANO.фальц.робоча.КД ECO-FIT Plus</v>
      </c>
      <c r="CQ32" s="136" t="s">
        <v>1585</v>
      </c>
      <c r="CR32" s="150" t="s">
        <v>155</v>
      </c>
      <c r="CS32" s="131" t="str">
        <f t="shared" si="28"/>
        <v>КД ECO-FIT Plus.I</v>
      </c>
      <c r="CY32" s="138" t="s">
        <v>101</v>
      </c>
      <c r="CZ32" s="129" t="s">
        <v>101</v>
      </c>
      <c r="DA32" s="130" t="s">
        <v>920</v>
      </c>
      <c r="DD32" s="157" t="s">
        <v>1833</v>
      </c>
      <c r="DE32" s="158">
        <v>5310</v>
      </c>
      <c r="DF32" s="490">
        <f>ROUND(((DE32-(DE32/6))/$DD$3)*$DE$3,2)</f>
        <v>5310</v>
      </c>
      <c r="DG32" s="491"/>
      <c r="DH32" s="492">
        <f>IF(DG32="",DF32,
IF(AND($DE$10&gt;=VLOOKUP(DG32,$DD$5:$DH$9,2,0),$DE$10&lt;=VLOOKUP(DG32,$DD$5:$DH$9,3,0)),
(DF32*(1-VLOOKUP(DG32,$DD$5:$DH$9,4,0))),
DF32))</f>
        <v>5310</v>
      </c>
      <c r="DP32" s="56" t="s">
        <v>592</v>
      </c>
      <c r="DQ32" s="97">
        <v>0</v>
      </c>
      <c r="DR32" s="503">
        <f t="shared" si="20"/>
        <v>0</v>
      </c>
      <c r="DS32" s="487"/>
      <c r="DT32" s="486">
        <f t="shared" si="21"/>
        <v>0</v>
      </c>
      <c r="DU32" s="158"/>
      <c r="DV32" s="100" t="s">
        <v>1807</v>
      </c>
      <c r="DW32" s="156">
        <v>640</v>
      </c>
      <c r="DX32" s="498">
        <f t="shared" si="25"/>
        <v>640</v>
      </c>
      <c r="DY32" s="493"/>
      <c r="DZ32" s="494">
        <f t="shared" si="26"/>
        <v>640</v>
      </c>
      <c r="EB32" s="100" t="s">
        <v>664</v>
      </c>
      <c r="EC32" s="156">
        <v>195</v>
      </c>
      <c r="ED32" s="498">
        <f t="shared" si="14"/>
        <v>195</v>
      </c>
      <c r="EE32" s="493"/>
      <c r="EF32" s="494">
        <f t="shared" si="15"/>
        <v>195</v>
      </c>
      <c r="EG32" s="157"/>
      <c r="EH32" s="505"/>
      <c r="EI32" s="506"/>
      <c r="EJ32" s="609"/>
      <c r="EK32" s="610"/>
      <c r="EL32" s="611"/>
    </row>
    <row r="33" spans="2:142" x14ac:dyDescent="0.2">
      <c r="B33" s="29"/>
      <c r="C33" s="391" t="s">
        <v>369</v>
      </c>
      <c r="D33" s="399" t="s">
        <v>196</v>
      </c>
      <c r="E33" s="28"/>
      <c r="G33" s="20"/>
      <c r="H33" s="20"/>
      <c r="I33" s="20"/>
      <c r="J33" s="20"/>
      <c r="K33" s="20"/>
      <c r="L33" s="45" t="s">
        <v>1817</v>
      </c>
      <c r="M33" s="44" t="s">
        <v>1818</v>
      </c>
      <c r="N33" s="85" t="s">
        <v>1819</v>
      </c>
      <c r="O33" s="403" t="s">
        <v>195</v>
      </c>
      <c r="Q33" s="41" t="s">
        <v>389</v>
      </c>
      <c r="R33" s="89" t="s">
        <v>275</v>
      </c>
      <c r="S33" s="85" t="s">
        <v>470</v>
      </c>
      <c r="T33" s="20"/>
      <c r="U33" s="146" t="s">
        <v>1068</v>
      </c>
      <c r="V33" s="143" t="s">
        <v>82</v>
      </c>
      <c r="W33" s="151" t="s">
        <v>772</v>
      </c>
      <c r="X33" s="20"/>
      <c r="AB33" s="20"/>
      <c r="AF33" s="20"/>
      <c r="AJ33" s="20"/>
      <c r="AK33" s="548" t="s">
        <v>1322</v>
      </c>
      <c r="AL33" s="549" t="s">
        <v>334</v>
      </c>
      <c r="AM33" s="550" t="s">
        <v>1328</v>
      </c>
      <c r="AN33" s="20"/>
      <c r="AO33" s="554"/>
      <c r="AP33" s="537"/>
      <c r="AQ33" s="555"/>
      <c r="AS33" s="20"/>
      <c r="AU33" s="128" t="s">
        <v>474</v>
      </c>
      <c r="AV33" s="140" t="s">
        <v>464</v>
      </c>
      <c r="AW33" s="130" t="str">
        <f t="shared" si="29"/>
        <v>ДП MILANO.2A</v>
      </c>
      <c r="AY33" s="209" t="s">
        <v>1817</v>
      </c>
      <c r="AZ33" s="58" t="s">
        <v>303</v>
      </c>
      <c r="BA33" s="131" t="str">
        <f t="shared" si="1"/>
        <v>ДП Florencia.1.купе</v>
      </c>
      <c r="BC33" s="125" t="s">
        <v>307</v>
      </c>
      <c r="BD33" s="142" t="s">
        <v>1069</v>
      </c>
      <c r="BE33" s="127" t="str">
        <f>CONCATENATE(BC33,".",BD33)</f>
        <v>комплект,.1-стулков,</v>
      </c>
      <c r="BF33" s="113"/>
      <c r="BG33" s="220" t="s">
        <v>1057</v>
      </c>
      <c r="BH33" s="140" t="s">
        <v>107</v>
      </c>
      <c r="BI33" s="130" t="str">
        <f t="shared" si="30"/>
        <v>2-стулков.(110)</v>
      </c>
      <c r="BK33" s="125" t="s">
        <v>1838</v>
      </c>
      <c r="BL33" s="126" t="s">
        <v>1422</v>
      </c>
      <c r="BM33" s="127" t="str">
        <f t="shared" si="3"/>
        <v>ДП Neapol.ECO-Resist</v>
      </c>
      <c r="BO33" s="138" t="s">
        <v>929</v>
      </c>
      <c r="BP33" s="20" t="s">
        <v>929</v>
      </c>
      <c r="BQ33" s="130" t="str">
        <f>CONCATENATE(BO33,".",BP33)</f>
        <v>(ні).(ні)</v>
      </c>
      <c r="BS33" s="36" t="s">
        <v>389</v>
      </c>
      <c r="BT33" s="44" t="s">
        <v>471</v>
      </c>
      <c r="BU33" s="66" t="str">
        <f t="shared" si="4"/>
        <v>ДП MILANO.8.Стандарт</v>
      </c>
      <c r="BW33" s="56" t="s">
        <v>384</v>
      </c>
      <c r="BX33" s="57" t="s">
        <v>1546</v>
      </c>
      <c r="BY33" s="66" t="str">
        <f t="shared" si="31"/>
        <v>ДП MILANO.3.Лакобель</v>
      </c>
      <c r="CA33" s="217" t="s">
        <v>1785</v>
      </c>
      <c r="CB33" s="126" t="s">
        <v>929</v>
      </c>
      <c r="CC33" s="127" t="str">
        <f t="shared" si="27"/>
        <v>ДП Elit.купе.робоча.(ні)</v>
      </c>
      <c r="CE33" s="217" t="s">
        <v>1815</v>
      </c>
      <c r="CF33" s="129"/>
      <c r="CG33" s="130" t="str">
        <f t="shared" si="32"/>
        <v>ДП Florencia.фальц.неробоча.</v>
      </c>
      <c r="CI33" s="53" t="s">
        <v>1006</v>
      </c>
      <c r="CJ33" s="52" t="s">
        <v>929</v>
      </c>
      <c r="CK33" s="66" t="str">
        <f>CONCATENATE(CI33,".",CJ33)</f>
        <v>6 завіс (3+3).(ні)</v>
      </c>
      <c r="CM33" s="40" t="s">
        <v>1034</v>
      </c>
      <c r="CN33" s="58" t="s">
        <v>929</v>
      </c>
      <c r="CO33" s="66" t="str">
        <f>CONCATENATE(CM33,".",CN33)</f>
        <v>ДП MILANO.фальц.неробоча.(ні)</v>
      </c>
      <c r="CQ33" s="136"/>
      <c r="CR33" s="150"/>
      <c r="CS33" s="131"/>
      <c r="CY33" s="138" t="s">
        <v>102</v>
      </c>
      <c r="CZ33" s="129" t="s">
        <v>102</v>
      </c>
      <c r="DA33" s="130" t="s">
        <v>920</v>
      </c>
      <c r="DD33" s="157" t="s">
        <v>1834</v>
      </c>
      <c r="DE33" s="158">
        <v>6160</v>
      </c>
      <c r="DF33" s="490">
        <f>ROUND(((DE33-(DE33/6))/$DD$3)*$DE$3,2)</f>
        <v>6160</v>
      </c>
      <c r="DG33" s="491"/>
      <c r="DH33" s="492">
        <f>IF(DG33="",DF33,
IF(AND($DE$10&gt;=VLOOKUP(DG33,$DD$5:$DH$9,2,0),$DE$10&lt;=VLOOKUP(DG33,$DD$5:$DH$9,3,0)),
(DF33*(1-VLOOKUP(DG33,$DD$5:$DH$9,4,0))),
DF33))</f>
        <v>6160</v>
      </c>
      <c r="DP33" s="56" t="s">
        <v>1550</v>
      </c>
      <c r="DQ33" s="97">
        <v>520</v>
      </c>
      <c r="DR33" s="503">
        <f>ROUND(((DQ33-(DQ33/6))/$DD$3)*$DE$3,2)</f>
        <v>520</v>
      </c>
      <c r="DS33" s="487"/>
      <c r="DT33" s="486">
        <f>IF(DS33="",DR33,
IF(AND($DQ$10&gt;=VLOOKUP(DS33,$DP$5:$DT$9,2,0),$DQ$10&lt;=VLOOKUP(DS33,$DP$5:$DT$9,3,0)),
(DR33*(1-VLOOKUP(DS33,$DP$5:$DT$9,4,0))),
DR33))</f>
        <v>520</v>
      </c>
      <c r="DU33" s="158"/>
      <c r="DV33" s="600"/>
      <c r="DW33" s="601"/>
      <c r="DX33" s="604"/>
      <c r="DY33" s="605"/>
      <c r="DZ33" s="606"/>
      <c r="EB33" s="154" t="s">
        <v>665</v>
      </c>
      <c r="EC33" s="155">
        <v>0</v>
      </c>
      <c r="ED33" s="504">
        <f t="shared" si="14"/>
        <v>0</v>
      </c>
      <c r="EE33" s="496"/>
      <c r="EF33" s="497">
        <f t="shared" si="15"/>
        <v>0</v>
      </c>
      <c r="EG33" s="157"/>
      <c r="EH33" s="154" t="s">
        <v>1062</v>
      </c>
      <c r="EI33" s="155">
        <v>0</v>
      </c>
      <c r="EJ33" s="504">
        <f>ROUND(((EI33-(EI33/6))/$DD$3)*$DE$3,2)</f>
        <v>0</v>
      </c>
      <c r="EK33" s="496"/>
      <c r="EL33" s="497">
        <f>IF(EK33="",EJ33,
IF(AND($EI$10&gt;=VLOOKUP(EK33,$EH$5:$EL$9,2,0),$EI$10&lt;=VLOOKUP(EK33,$EH$5:$EL$9,3,0)),
(EJ33*(1-VLOOKUP(EK33,$EH$5:$EL$9,4,0))),
EJ33))</f>
        <v>0</v>
      </c>
    </row>
    <row r="34" spans="2:142" ht="10.8" thickBot="1" x14ac:dyDescent="0.25">
      <c r="B34" s="29"/>
      <c r="C34" s="393"/>
      <c r="D34" s="398"/>
      <c r="E34" s="28"/>
      <c r="G34" s="20"/>
      <c r="H34" s="20"/>
      <c r="I34" s="20"/>
      <c r="J34" s="20"/>
      <c r="K34" s="20"/>
      <c r="L34" s="45" t="s">
        <v>1821</v>
      </c>
      <c r="M34" s="44" t="s">
        <v>1818</v>
      </c>
      <c r="N34" s="85" t="s">
        <v>1819</v>
      </c>
      <c r="O34" s="403" t="s">
        <v>195</v>
      </c>
      <c r="Q34" s="41" t="s">
        <v>390</v>
      </c>
      <c r="R34" s="89" t="s">
        <v>60</v>
      </c>
      <c r="S34" s="85" t="s">
        <v>283</v>
      </c>
      <c r="T34" s="20"/>
      <c r="U34" s="146" t="s">
        <v>1071</v>
      </c>
      <c r="V34" s="143" t="s">
        <v>83</v>
      </c>
      <c r="W34" s="151" t="s">
        <v>773</v>
      </c>
      <c r="X34" s="20"/>
      <c r="AB34" s="20"/>
      <c r="AF34" s="20"/>
      <c r="AJ34" s="20"/>
      <c r="AK34" s="548" t="s">
        <v>1323</v>
      </c>
      <c r="AL34" s="456" t="s">
        <v>1319</v>
      </c>
      <c r="AM34" s="550" t="s">
        <v>1329</v>
      </c>
      <c r="AN34" s="20"/>
      <c r="AO34" s="543"/>
      <c r="AP34" s="456"/>
      <c r="AQ34" s="544"/>
      <c r="AS34" s="20"/>
      <c r="AU34" s="128" t="s">
        <v>474</v>
      </c>
      <c r="AV34" s="140" t="s">
        <v>466</v>
      </c>
      <c r="AW34" s="130" t="str">
        <f t="shared" si="29"/>
        <v>ДП MILANO.3A</v>
      </c>
      <c r="AY34" s="220" t="s">
        <v>1821</v>
      </c>
      <c r="AZ34" s="129" t="s">
        <v>302</v>
      </c>
      <c r="BA34" s="130" t="str">
        <f t="shared" si="1"/>
        <v>ДП Florencia.2.фальц</v>
      </c>
      <c r="BC34" s="40" t="s">
        <v>307</v>
      </c>
      <c r="BD34" s="141" t="s">
        <v>1072</v>
      </c>
      <c r="BE34" s="131" t="str">
        <f>CONCATENATE(BC34,".",BD34)</f>
        <v>комплект,.2-стулков,</v>
      </c>
      <c r="BF34" s="113"/>
      <c r="BG34" s="220" t="s">
        <v>1057</v>
      </c>
      <c r="BH34" s="140" t="s">
        <v>108</v>
      </c>
      <c r="BI34" s="130" t="str">
        <f t="shared" si="30"/>
        <v>2-стулков.(120)</v>
      </c>
      <c r="BK34" s="408"/>
      <c r="BL34" s="408"/>
      <c r="BM34" s="408"/>
      <c r="BO34" s="406"/>
      <c r="BP34" s="407"/>
      <c r="BQ34" s="408"/>
      <c r="BS34" s="36" t="s">
        <v>390</v>
      </c>
      <c r="BT34" s="44" t="s">
        <v>471</v>
      </c>
      <c r="BU34" s="66" t="str">
        <f t="shared" si="4"/>
        <v>ДП MILANO.9.Стандарт</v>
      </c>
      <c r="BW34" s="56" t="s">
        <v>385</v>
      </c>
      <c r="BX34" s="57" t="s">
        <v>139</v>
      </c>
      <c r="BY34" s="66" t="str">
        <f t="shared" si="31"/>
        <v>ДП MILANO.4.Сатин</v>
      </c>
      <c r="CA34" s="220" t="s">
        <v>1785</v>
      </c>
      <c r="CB34" s="129" t="s">
        <v>140</v>
      </c>
      <c r="CC34" s="130" t="str">
        <f t="shared" si="27"/>
        <v>ДП Elit.купе.робоча.Ручка-Захват</v>
      </c>
      <c r="CE34" s="220" t="s">
        <v>1815</v>
      </c>
      <c r="CF34" s="129" t="s">
        <v>953</v>
      </c>
      <c r="CG34" s="130" t="str">
        <f t="shared" si="32"/>
        <v>ДП Florencia.фальц.неробоча.ВВ</v>
      </c>
      <c r="CI34" s="53" t="s">
        <v>79</v>
      </c>
      <c r="CJ34" s="52" t="s">
        <v>929</v>
      </c>
      <c r="CK34" s="66" t="str">
        <f>CONCATENATE(CI34,".",CJ34)</f>
        <v>Без планки замка.(ні)</v>
      </c>
      <c r="CM34" s="36" t="s">
        <v>1035</v>
      </c>
      <c r="CN34" s="52" t="s">
        <v>367</v>
      </c>
      <c r="CO34" s="66" t="str">
        <f>CONCATENATE(CM34,".",CN34)</f>
        <v>ДП MILANO.купе.робоча.КД ECO-FIT</v>
      </c>
      <c r="CQ34" s="136"/>
      <c r="CR34" s="150"/>
      <c r="CS34" s="131"/>
      <c r="CY34" s="209" t="s">
        <v>103</v>
      </c>
      <c r="CZ34" s="58" t="s">
        <v>103</v>
      </c>
      <c r="DA34" s="131" t="s">
        <v>920</v>
      </c>
      <c r="DD34" s="157" t="s">
        <v>1835</v>
      </c>
      <c r="DE34" s="158">
        <v>5310</v>
      </c>
      <c r="DF34" s="490">
        <f>ROUND(((DE34-(DE34/6))/$DD$3)*$DE$3,2)</f>
        <v>5310</v>
      </c>
      <c r="DG34" s="491"/>
      <c r="DH34" s="492">
        <f>IF(DG34="",DF34,
IF(AND($DE$10&gt;=VLOOKUP(DG34,$DD$5:$DH$9,2,0),$DE$10&lt;=VLOOKUP(DG34,$DD$5:$DH$9,3,0)),
(DF34*(1-VLOOKUP(DG34,$DD$5:$DH$9,4,0))),
DF34))</f>
        <v>5310</v>
      </c>
      <c r="DP34" s="56" t="s">
        <v>593</v>
      </c>
      <c r="DQ34" s="97">
        <v>0</v>
      </c>
      <c r="DR34" s="503">
        <f t="shared" si="20"/>
        <v>0</v>
      </c>
      <c r="DS34" s="487"/>
      <c r="DT34" s="486">
        <f t="shared" si="21"/>
        <v>0</v>
      </c>
      <c r="DU34" s="158"/>
      <c r="DV34" s="56" t="s">
        <v>1823</v>
      </c>
      <c r="DW34" s="97">
        <v>0</v>
      </c>
      <c r="DX34" s="388">
        <f t="shared" ref="DX34:DX43" si="33">ROUND(((DW34-(DW34/6))/$DD$3)*$DE$3,2)</f>
        <v>0</v>
      </c>
      <c r="DY34" s="487"/>
      <c r="DZ34" s="486">
        <f t="shared" ref="DZ34:DZ43" si="34">IF(DY34="",DX34,
IF(AND($DW$10&gt;=VLOOKUP(DY34,$DV$5:$DZ$9,2,0),$DW$10&lt;=VLOOKUP(DY34,$DV$5:$DZ$9,3,0)),
(DX34*(1-VLOOKUP(DY34,$DV$5:$DZ$9,4,0))),
DX34))</f>
        <v>0</v>
      </c>
      <c r="EB34" s="157" t="s">
        <v>960</v>
      </c>
      <c r="EC34" s="158">
        <v>290</v>
      </c>
      <c r="ED34" s="490">
        <f t="shared" si="14"/>
        <v>290</v>
      </c>
      <c r="EE34" s="491"/>
      <c r="EF34" s="492">
        <f t="shared" si="15"/>
        <v>290</v>
      </c>
      <c r="EG34" s="157"/>
      <c r="EH34" s="154" t="s">
        <v>1525</v>
      </c>
      <c r="EI34" s="155">
        <v>0</v>
      </c>
      <c r="EJ34" s="504">
        <f>ROUND(((EI34-(EI34/6))/$DD$3)*$DE$3,2)</f>
        <v>0</v>
      </c>
      <c r="EK34" s="496"/>
      <c r="EL34" s="497">
        <f>IF(EK34="",EJ34,
IF(AND($EI$10&gt;=VLOOKUP(EK34,$EH$5:$EL$9,2,0),$EI$10&lt;=VLOOKUP(EK34,$EH$5:$EL$9,3,0)),
(EJ34*(1-VLOOKUP(EK34,$EH$5:$EL$9,4,0))),
EJ34))</f>
        <v>0</v>
      </c>
    </row>
    <row r="35" spans="2:142" x14ac:dyDescent="0.2">
      <c r="B35" s="29"/>
      <c r="C35" s="239"/>
      <c r="D35" s="239"/>
      <c r="E35" s="28"/>
      <c r="G35" s="20"/>
      <c r="H35" s="20"/>
      <c r="I35" s="20"/>
      <c r="J35" s="20"/>
      <c r="K35" s="20"/>
      <c r="L35" s="45"/>
      <c r="M35" s="44"/>
      <c r="N35" s="85"/>
      <c r="O35" s="403"/>
      <c r="Q35" s="41" t="s">
        <v>391</v>
      </c>
      <c r="R35" s="89" t="s">
        <v>462</v>
      </c>
      <c r="S35" s="85" t="s">
        <v>463</v>
      </c>
      <c r="T35" s="20"/>
      <c r="U35" s="146" t="s">
        <v>1073</v>
      </c>
      <c r="V35" s="143" t="s">
        <v>84</v>
      </c>
      <c r="W35" s="151" t="s">
        <v>774</v>
      </c>
      <c r="X35" s="20"/>
      <c r="AB35" s="20"/>
      <c r="AF35" s="20"/>
      <c r="AJ35" s="20"/>
      <c r="AK35" s="543" t="s">
        <v>1324</v>
      </c>
      <c r="AL35" s="456" t="s">
        <v>335</v>
      </c>
      <c r="AM35" s="544" t="s">
        <v>1330</v>
      </c>
      <c r="AN35" s="20"/>
      <c r="AO35" s="548" t="s">
        <v>1153</v>
      </c>
      <c r="AP35" s="93" t="s">
        <v>1188</v>
      </c>
      <c r="AQ35" s="550" t="s">
        <v>826</v>
      </c>
      <c r="AS35" s="20"/>
      <c r="AU35" s="40" t="s">
        <v>474</v>
      </c>
      <c r="AV35" s="141" t="s">
        <v>468</v>
      </c>
      <c r="AW35" s="131" t="str">
        <f t="shared" si="29"/>
        <v>ДП MILANO.4A</v>
      </c>
      <c r="AY35" s="209" t="s">
        <v>1821</v>
      </c>
      <c r="AZ35" s="58" t="s">
        <v>303</v>
      </c>
      <c r="BA35" s="131" t="str">
        <f t="shared" si="1"/>
        <v>ДП Florencia.2.купе</v>
      </c>
      <c r="BC35" s="412"/>
      <c r="BD35" s="207"/>
      <c r="BE35" s="208"/>
      <c r="BF35" s="113"/>
      <c r="BG35" s="220" t="s">
        <v>1057</v>
      </c>
      <c r="BH35" s="140" t="s">
        <v>109</v>
      </c>
      <c r="BI35" s="130" t="str">
        <f t="shared" si="30"/>
        <v>2-стулков.(130)</v>
      </c>
      <c r="BK35" s="125" t="s">
        <v>366</v>
      </c>
      <c r="BL35" s="126" t="s">
        <v>482</v>
      </c>
      <c r="BM35" s="127" t="str">
        <f t="shared" ref="BM35:BM44" si="35">CONCATENATE(BK35,".",BL35)</f>
        <v>КД Classic.ECO-Cell</v>
      </c>
      <c r="BS35" s="36" t="s">
        <v>391</v>
      </c>
      <c r="BT35" s="44" t="s">
        <v>471</v>
      </c>
      <c r="BU35" s="66" t="str">
        <f t="shared" si="4"/>
        <v>ДП MILANO.1A.Стандарт</v>
      </c>
      <c r="BW35" s="56" t="s">
        <v>385</v>
      </c>
      <c r="BX35" s="57" t="s">
        <v>1546</v>
      </c>
      <c r="BY35" s="66" t="str">
        <f t="shared" si="31"/>
        <v>ДП MILANO.4.Лакобель</v>
      </c>
      <c r="CA35" s="220" t="s">
        <v>1785</v>
      </c>
      <c r="CB35" s="129" t="s">
        <v>192</v>
      </c>
      <c r="CC35" s="130" t="str">
        <f t="shared" si="27"/>
        <v>ДП Elit.купе.робоча.Ручка-Замок</v>
      </c>
      <c r="CE35" s="209" t="s">
        <v>1815</v>
      </c>
      <c r="CF35" s="58" t="s">
        <v>198</v>
      </c>
      <c r="CG35" s="131" t="str">
        <f t="shared" si="32"/>
        <v>ДП Florencia.фальц.неробоча.ВП</v>
      </c>
      <c r="CI35" s="41" t="s">
        <v>80</v>
      </c>
      <c r="CJ35" s="52" t="s">
        <v>929</v>
      </c>
      <c r="CK35" s="66" t="str">
        <f>CONCATENATE(CI35,".",CJ35)</f>
        <v>С планкой замка.(ні)</v>
      </c>
      <c r="CM35" s="412"/>
      <c r="CN35" s="407"/>
      <c r="CO35" s="408"/>
      <c r="CQ35" s="136" t="s">
        <v>929</v>
      </c>
      <c r="CR35" s="150" t="s">
        <v>929</v>
      </c>
      <c r="CS35" s="131" t="str">
        <f>CONCATENATE(CQ35,".",CR35)</f>
        <v>(ні).(ні)</v>
      </c>
      <c r="CY35" s="138" t="s">
        <v>483</v>
      </c>
      <c r="CZ35" s="129" t="s">
        <v>103</v>
      </c>
      <c r="DA35" s="130" t="s">
        <v>921</v>
      </c>
      <c r="DD35" s="157" t="s">
        <v>1836</v>
      </c>
      <c r="DE35" s="158">
        <v>6160</v>
      </c>
      <c r="DF35" s="490">
        <f>ROUND(((DE35-(DE35/6))/$DD$3)*$DE$3,2)</f>
        <v>6160</v>
      </c>
      <c r="DG35" s="491"/>
      <c r="DH35" s="492">
        <f>IF(DG35="",DF35,
IF(AND($DE$10&gt;=VLOOKUP(DG35,$DD$5:$DH$9,2,0),$DE$10&lt;=VLOOKUP(DG35,$DD$5:$DH$9,3,0)),
(DF35*(1-VLOOKUP(DG35,$DD$5:$DH$9,4,0))),
DF35))</f>
        <v>6160</v>
      </c>
      <c r="DP35" s="56" t="s">
        <v>1551</v>
      </c>
      <c r="DQ35" s="97">
        <v>520</v>
      </c>
      <c r="DR35" s="503">
        <f>ROUND(((DQ35-(DQ35/6))/$DD$3)*$DE$3,2)</f>
        <v>520</v>
      </c>
      <c r="DS35" s="487"/>
      <c r="DT35" s="486">
        <f>IF(DS35="",DR35,
IF(AND($DQ$10&gt;=VLOOKUP(DS35,$DP$5:$DT$9,2,0),$DQ$10&lt;=VLOOKUP(DS35,$DP$5:$DT$9,3,0)),
(DR35*(1-VLOOKUP(DS35,$DP$5:$DT$9,4,0))),
DR35))</f>
        <v>520</v>
      </c>
      <c r="DU35" s="158"/>
      <c r="DV35" s="154" t="s">
        <v>1824</v>
      </c>
      <c r="DW35" s="155">
        <v>0</v>
      </c>
      <c r="DX35" s="495">
        <f t="shared" si="33"/>
        <v>0</v>
      </c>
      <c r="DY35" s="496"/>
      <c r="DZ35" s="497">
        <f t="shared" si="34"/>
        <v>0</v>
      </c>
      <c r="EB35" s="100" t="s">
        <v>666</v>
      </c>
      <c r="EC35" s="156">
        <v>195</v>
      </c>
      <c r="ED35" s="498">
        <f t="shared" ref="ED35:ED41" si="36">ROUND(((EC35-(EC35/6))/$DD$3)*$DE$3,2)</f>
        <v>195</v>
      </c>
      <c r="EE35" s="493"/>
      <c r="EF35" s="494">
        <f t="shared" si="15"/>
        <v>195</v>
      </c>
      <c r="EG35" s="157"/>
      <c r="EH35" s="100" t="s">
        <v>1063</v>
      </c>
      <c r="EI35" s="156">
        <v>1550</v>
      </c>
      <c r="EJ35" s="498">
        <f>ROUND(((EI35-(EI35/6))/$DD$3)*$DE$3,2)</f>
        <v>1550</v>
      </c>
      <c r="EK35" s="493"/>
      <c r="EL35" s="494">
        <f>IF(EK35="",EJ35,
IF(AND($EI$10&gt;=VLOOKUP(EK35,$EH$5:$EL$9,2,0),$EI$10&lt;=VLOOKUP(EK35,$EH$5:$EL$9,3,0)),
(EJ35*(1-VLOOKUP(EK35,$EH$5:$EL$9,4,0))),
EJ35))</f>
        <v>1550</v>
      </c>
    </row>
    <row r="36" spans="2:142" ht="10.8" thickBot="1" x14ac:dyDescent="0.25">
      <c r="B36" s="29"/>
      <c r="C36" s="87" t="s">
        <v>157</v>
      </c>
      <c r="D36" s="32" t="s">
        <v>194</v>
      </c>
      <c r="E36" s="28"/>
      <c r="G36" s="20"/>
      <c r="H36" s="20"/>
      <c r="I36" s="20"/>
      <c r="J36" s="20"/>
      <c r="K36" s="20"/>
      <c r="L36" s="45" t="s">
        <v>381</v>
      </c>
      <c r="M36" s="44" t="s">
        <v>382</v>
      </c>
      <c r="N36" s="85" t="s">
        <v>730</v>
      </c>
      <c r="O36" s="403" t="s">
        <v>195</v>
      </c>
      <c r="Q36" s="41" t="s">
        <v>392</v>
      </c>
      <c r="R36" s="89" t="s">
        <v>464</v>
      </c>
      <c r="S36" s="85" t="s">
        <v>465</v>
      </c>
      <c r="T36" s="20"/>
      <c r="U36" s="146" t="s">
        <v>1075</v>
      </c>
      <c r="V36" s="143" t="s">
        <v>85</v>
      </c>
      <c r="W36" s="151" t="s">
        <v>775</v>
      </c>
      <c r="X36" s="20"/>
      <c r="AB36" s="20"/>
      <c r="AF36" s="20"/>
      <c r="AJ36" s="20"/>
      <c r="AK36" s="543" t="s">
        <v>1325</v>
      </c>
      <c r="AL36" s="456" t="s">
        <v>1320</v>
      </c>
      <c r="AM36" s="544" t="s">
        <v>1331</v>
      </c>
      <c r="AN36" s="20"/>
      <c r="AO36" s="545" t="s">
        <v>1154</v>
      </c>
      <c r="AP36" s="144" t="s">
        <v>66</v>
      </c>
      <c r="AQ36" s="546" t="s">
        <v>827</v>
      </c>
      <c r="AS36" s="20"/>
      <c r="AU36" s="128" t="s">
        <v>477</v>
      </c>
      <c r="AV36" s="140" t="s">
        <v>164</v>
      </c>
      <c r="AW36" s="130" t="str">
        <f t="shared" si="29"/>
        <v>ДП LIANO.1</v>
      </c>
      <c r="AY36" s="657"/>
      <c r="AZ36" s="658"/>
      <c r="BA36" s="659"/>
      <c r="BC36" s="412"/>
      <c r="BD36" s="207"/>
      <c r="BE36" s="208"/>
      <c r="BF36" s="113"/>
      <c r="BG36" s="220" t="s">
        <v>1057</v>
      </c>
      <c r="BH36" s="140" t="s">
        <v>110</v>
      </c>
      <c r="BI36" s="130" t="str">
        <f t="shared" si="30"/>
        <v>2-стулков.(140)</v>
      </c>
      <c r="BK36" s="125" t="s">
        <v>366</v>
      </c>
      <c r="BL36" s="126" t="s">
        <v>1422</v>
      </c>
      <c r="BM36" s="127" t="str">
        <f t="shared" si="35"/>
        <v>КД Classic.ECO-Resist</v>
      </c>
      <c r="BS36" s="36" t="s">
        <v>392</v>
      </c>
      <c r="BT36" s="44" t="s">
        <v>471</v>
      </c>
      <c r="BU36" s="66" t="str">
        <f t="shared" si="4"/>
        <v>ДП MILANO.2A.Стандарт</v>
      </c>
      <c r="BW36" s="56" t="s">
        <v>386</v>
      </c>
      <c r="BX36" s="57" t="s">
        <v>139</v>
      </c>
      <c r="BY36" s="66" t="str">
        <f t="shared" si="31"/>
        <v>ДП MILANO.5.Сатин</v>
      </c>
      <c r="CA36" s="412"/>
      <c r="CB36" s="207"/>
      <c r="CC36" s="208"/>
      <c r="CE36" s="217" t="s">
        <v>1816</v>
      </c>
      <c r="CF36" s="129"/>
      <c r="CG36" s="130" t="str">
        <f t="shared" si="32"/>
        <v>ДП Florencia.купе.робоча.</v>
      </c>
      <c r="CI36" s="457"/>
      <c r="CJ36" s="407"/>
      <c r="CK36" s="408"/>
      <c r="CM36" s="128" t="s">
        <v>1036</v>
      </c>
      <c r="CN36" s="129" t="s">
        <v>366</v>
      </c>
      <c r="CO36" s="130" t="str">
        <f>CONCATENATE(CM36,".",CN36)</f>
        <v>ДП LIANO.фальц.робоча.КД Classic</v>
      </c>
      <c r="CQ36" s="52"/>
      <c r="CR36" s="52"/>
      <c r="CS36" s="66"/>
      <c r="CY36" s="138" t="s">
        <v>484</v>
      </c>
      <c r="CZ36" s="129" t="s">
        <v>103</v>
      </c>
      <c r="DA36" s="130" t="s">
        <v>921</v>
      </c>
      <c r="DD36" s="595"/>
      <c r="DE36" s="596"/>
      <c r="DF36" s="597"/>
      <c r="DG36" s="598"/>
      <c r="DH36" s="599"/>
      <c r="DP36" s="56" t="s">
        <v>594</v>
      </c>
      <c r="DQ36" s="97">
        <v>0</v>
      </c>
      <c r="DR36" s="503">
        <f t="shared" si="20"/>
        <v>0</v>
      </c>
      <c r="DS36" s="487"/>
      <c r="DT36" s="486">
        <f t="shared" si="21"/>
        <v>0</v>
      </c>
      <c r="DU36" s="158"/>
      <c r="DV36" s="154" t="s">
        <v>1825</v>
      </c>
      <c r="DW36" s="158">
        <v>0</v>
      </c>
      <c r="DX36" s="490">
        <f>ROUND(((DW36-(DW36/6))/$DD$3)*$DE$3,2)</f>
        <v>0</v>
      </c>
      <c r="DY36" s="491"/>
      <c r="DZ36" s="492">
        <f>IF(DY36="",DX36,
IF(AND($DW$10&gt;=VLOOKUP(DY36,$DV$5:$DZ$9,2,0),$DW$10&lt;=VLOOKUP(DY36,$DV$5:$DZ$9,3,0)),
(DX36*(1-VLOOKUP(DY36,$DV$5:$DZ$9,4,0))),
DX36))</f>
        <v>0</v>
      </c>
      <c r="EB36" s="154" t="s">
        <v>1738</v>
      </c>
      <c r="EC36" s="155">
        <v>0</v>
      </c>
      <c r="ED36" s="504">
        <f t="shared" si="36"/>
        <v>0</v>
      </c>
      <c r="EE36" s="496"/>
      <c r="EF36" s="497">
        <f t="shared" si="15"/>
        <v>0</v>
      </c>
      <c r="EG36" s="157"/>
      <c r="EH36" s="100" t="s">
        <v>1526</v>
      </c>
      <c r="EI36" s="156">
        <v>1850</v>
      </c>
      <c r="EJ36" s="498">
        <f>ROUND(((EI36-(EI36/6))/$DD$3)*$DE$3,2)</f>
        <v>1850</v>
      </c>
      <c r="EK36" s="493"/>
      <c r="EL36" s="494">
        <f>IF(EK36="",EJ36,
IF(AND($EI$10&gt;=VLOOKUP(EK36,$EH$5:$EL$9,2,0),$EI$10&lt;=VLOOKUP(EK36,$EH$5:$EL$9,3,0)),
(EJ36*(1-VLOOKUP(EK36,$EH$5:$EL$9,4,0))),
EJ36))</f>
        <v>1850</v>
      </c>
    </row>
    <row r="37" spans="2:142" ht="10.8" thickBot="1" x14ac:dyDescent="0.25">
      <c r="B37" s="29"/>
      <c r="C37" s="513" t="s">
        <v>873</v>
      </c>
      <c r="D37" s="516" t="s">
        <v>196</v>
      </c>
      <c r="E37" s="28"/>
      <c r="G37" s="20"/>
      <c r="H37" s="20"/>
      <c r="I37" s="20"/>
      <c r="J37" s="20"/>
      <c r="K37" s="20"/>
      <c r="L37" s="45" t="s">
        <v>383</v>
      </c>
      <c r="M37" s="44" t="s">
        <v>382</v>
      </c>
      <c r="N37" s="85" t="s">
        <v>730</v>
      </c>
      <c r="O37" s="403" t="s">
        <v>195</v>
      </c>
      <c r="Q37" s="41" t="s">
        <v>393</v>
      </c>
      <c r="R37" s="89" t="s">
        <v>466</v>
      </c>
      <c r="S37" s="85" t="s">
        <v>467</v>
      </c>
      <c r="T37" s="20"/>
      <c r="U37" s="146" t="s">
        <v>1077</v>
      </c>
      <c r="V37" s="143" t="s">
        <v>26</v>
      </c>
      <c r="W37" s="151" t="s">
        <v>962</v>
      </c>
      <c r="X37" s="20"/>
      <c r="AB37" s="20"/>
      <c r="AF37" s="20"/>
      <c r="AJ37" s="20"/>
      <c r="AK37" s="545" t="s">
        <v>1326</v>
      </c>
      <c r="AL37" s="551" t="s">
        <v>336</v>
      </c>
      <c r="AM37" s="546" t="s">
        <v>1332</v>
      </c>
      <c r="AN37" s="20"/>
      <c r="AO37" s="552"/>
      <c r="AP37" s="455"/>
      <c r="AQ37" s="553"/>
      <c r="AS37" s="20"/>
      <c r="AU37" s="128" t="s">
        <v>477</v>
      </c>
      <c r="AV37" s="140" t="s">
        <v>165</v>
      </c>
      <c r="AW37" s="130" t="str">
        <f t="shared" si="29"/>
        <v>ДП LIANO.2</v>
      </c>
      <c r="AY37" s="220" t="s">
        <v>381</v>
      </c>
      <c r="AZ37" s="129" t="s">
        <v>302</v>
      </c>
      <c r="BA37" s="130" t="str">
        <f t="shared" si="1"/>
        <v>ДП MILANO.1.фальц</v>
      </c>
      <c r="BC37" s="54" t="s">
        <v>299</v>
      </c>
      <c r="BD37" s="52" t="s">
        <v>358</v>
      </c>
      <c r="BE37" s="66" t="str">
        <f>CONCATENATE(BC37,".",BD37)</f>
        <v>шт..2050 мм</v>
      </c>
      <c r="BF37" s="113"/>
      <c r="BG37" s="220" t="s">
        <v>1057</v>
      </c>
      <c r="BH37" s="140" t="s">
        <v>111</v>
      </c>
      <c r="BI37" s="130" t="str">
        <f t="shared" si="30"/>
        <v>2-стулков.(150)</v>
      </c>
      <c r="BK37" s="125" t="s">
        <v>367</v>
      </c>
      <c r="BL37" s="126" t="s">
        <v>482</v>
      </c>
      <c r="BM37" s="127" t="str">
        <f t="shared" si="35"/>
        <v>КД ECO-FIT.ECO-Cell</v>
      </c>
      <c r="BS37" s="36" t="s">
        <v>393</v>
      </c>
      <c r="BT37" s="44" t="s">
        <v>471</v>
      </c>
      <c r="BU37" s="66" t="str">
        <f t="shared" si="4"/>
        <v>ДП MILANO.3A.Стандарт</v>
      </c>
      <c r="BW37" s="56" t="s">
        <v>386</v>
      </c>
      <c r="BX37" s="57" t="s">
        <v>1546</v>
      </c>
      <c r="BY37" s="66" t="str">
        <f t="shared" si="31"/>
        <v>ДП MILANO.5.Лакобель</v>
      </c>
      <c r="CA37" s="220" t="s">
        <v>1814</v>
      </c>
      <c r="CB37" s="129" t="s">
        <v>929</v>
      </c>
      <c r="CC37" s="130" t="str">
        <f t="shared" ref="CC37:CC47" si="37">CONCATENATE(CA37,".",CB37)</f>
        <v>ДП Florencia.фальц.робоча.(ні)</v>
      </c>
      <c r="CE37" s="220" t="s">
        <v>1816</v>
      </c>
      <c r="CF37" s="58" t="s">
        <v>953</v>
      </c>
      <c r="CG37" s="131" t="str">
        <f t="shared" si="32"/>
        <v>ДП Florencia.купе.робоча.ВВ</v>
      </c>
      <c r="CI37" s="53"/>
      <c r="CJ37" s="52"/>
      <c r="CK37" s="66"/>
      <c r="CM37" s="40" t="s">
        <v>1036</v>
      </c>
      <c r="CN37" s="58" t="s">
        <v>367</v>
      </c>
      <c r="CO37" s="131" t="str">
        <f>CONCATENATE(CM37,".",CN37)</f>
        <v>ДП LIANO.фальц.робоча.КД ECO-FIT</v>
      </c>
      <c r="CQ37" s="52"/>
      <c r="CR37" s="52"/>
      <c r="CS37" s="66"/>
      <c r="CY37" s="138" t="s">
        <v>485</v>
      </c>
      <c r="CZ37" s="129" t="s">
        <v>103</v>
      </c>
      <c r="DA37" s="130" t="s">
        <v>921</v>
      </c>
      <c r="DD37" s="157" t="s">
        <v>500</v>
      </c>
      <c r="DE37" s="158">
        <v>5270</v>
      </c>
      <c r="DF37" s="490">
        <f t="shared" ref="DF37:DF62" si="38">ROUND(((DE37-(DE37/6))/$DD$3)*$DE$3,2)</f>
        <v>5270</v>
      </c>
      <c r="DG37" s="491" t="s">
        <v>1892</v>
      </c>
      <c r="DH37" s="492">
        <f t="shared" ref="DH37:DH62" ca="1" si="39">IF(DG37="",DF37,
IF(AND($DE$10&gt;=VLOOKUP(DG37,$DD$5:$DH$9,2,0),$DE$10&lt;=VLOOKUP(DG37,$DD$5:$DH$9,3,0)),
(DF37*(1-VLOOKUP(DG37,$DD$5:$DH$9,4,0))),
DF37))</f>
        <v>5270</v>
      </c>
      <c r="DP37" s="56" t="s">
        <v>1552</v>
      </c>
      <c r="DQ37" s="97">
        <v>520</v>
      </c>
      <c r="DR37" s="503">
        <f>ROUND(((DQ37-(DQ37/6))/$DD$3)*$DE$3,2)</f>
        <v>520</v>
      </c>
      <c r="DS37" s="487"/>
      <c r="DT37" s="486">
        <f>IF(DS37="",DR37,
IF(AND($DQ$10&gt;=VLOOKUP(DS37,$DP$5:$DT$9,2,0),$DQ$10&lt;=VLOOKUP(DS37,$DP$5:$DT$9,3,0)),
(DR37*(1-VLOOKUP(DS37,$DP$5:$DT$9,4,0))),
DR37))</f>
        <v>520</v>
      </c>
      <c r="DU37" s="158"/>
      <c r="DV37" s="157" t="s">
        <v>1826</v>
      </c>
      <c r="DW37" s="158">
        <v>0</v>
      </c>
      <c r="DX37" s="490">
        <f t="shared" si="33"/>
        <v>0</v>
      </c>
      <c r="DY37" s="491"/>
      <c r="DZ37" s="492">
        <f t="shared" si="34"/>
        <v>0</v>
      </c>
      <c r="EB37" s="157" t="s">
        <v>1739</v>
      </c>
      <c r="EC37" s="158">
        <v>290</v>
      </c>
      <c r="ED37" s="490">
        <f t="shared" si="36"/>
        <v>290</v>
      </c>
      <c r="EE37" s="491"/>
      <c r="EF37" s="492">
        <f t="shared" si="15"/>
        <v>290</v>
      </c>
      <c r="EG37" s="157"/>
      <c r="EH37" s="505"/>
      <c r="EI37" s="506"/>
      <c r="EJ37" s="609"/>
      <c r="EK37" s="610"/>
      <c r="EL37" s="611"/>
    </row>
    <row r="38" spans="2:142" x14ac:dyDescent="0.2">
      <c r="B38" s="29"/>
      <c r="C38" s="513" t="s">
        <v>1709</v>
      </c>
      <c r="D38" s="516" t="s">
        <v>196</v>
      </c>
      <c r="E38" s="28"/>
      <c r="G38" s="20"/>
      <c r="H38" s="20"/>
      <c r="I38" s="20"/>
      <c r="J38" s="20"/>
      <c r="K38" s="20"/>
      <c r="L38" s="45" t="s">
        <v>384</v>
      </c>
      <c r="M38" s="91" t="s">
        <v>382</v>
      </c>
      <c r="N38" s="85" t="s">
        <v>730</v>
      </c>
      <c r="O38" s="403" t="s">
        <v>195</v>
      </c>
      <c r="Q38" s="41" t="s">
        <v>394</v>
      </c>
      <c r="R38" s="89" t="s">
        <v>468</v>
      </c>
      <c r="S38" s="85" t="s">
        <v>469</v>
      </c>
      <c r="T38" s="20"/>
      <c r="U38" s="146" t="s">
        <v>1078</v>
      </c>
      <c r="V38" s="143" t="s">
        <v>27</v>
      </c>
      <c r="W38" s="151" t="s">
        <v>964</v>
      </c>
      <c r="X38" s="20"/>
      <c r="AB38" s="20"/>
      <c r="AF38" s="20"/>
      <c r="AJ38" s="20"/>
      <c r="AK38" s="545" t="s">
        <v>1327</v>
      </c>
      <c r="AL38" s="551" t="s">
        <v>1321</v>
      </c>
      <c r="AM38" s="546" t="s">
        <v>1333</v>
      </c>
      <c r="AN38" s="20"/>
      <c r="AO38" s="543"/>
      <c r="AP38" s="456"/>
      <c r="AQ38" s="544"/>
      <c r="AS38" s="20"/>
      <c r="AU38" s="128" t="s">
        <v>477</v>
      </c>
      <c r="AV38" s="140" t="s">
        <v>166</v>
      </c>
      <c r="AW38" s="130" t="str">
        <f t="shared" si="29"/>
        <v>ДП LIANO.3</v>
      </c>
      <c r="AY38" s="209" t="s">
        <v>381</v>
      </c>
      <c r="AZ38" s="58" t="s">
        <v>303</v>
      </c>
      <c r="BA38" s="131" t="str">
        <f t="shared" si="1"/>
        <v>ДП MILANO.1.купе</v>
      </c>
      <c r="BC38" s="36"/>
      <c r="BD38" s="37"/>
      <c r="BE38" s="66"/>
      <c r="BF38" s="113"/>
      <c r="BG38" s="220" t="s">
        <v>1057</v>
      </c>
      <c r="BH38" s="140" t="s">
        <v>112</v>
      </c>
      <c r="BI38" s="130" t="str">
        <f t="shared" si="30"/>
        <v>2-стулков.(160)</v>
      </c>
      <c r="BK38" s="125" t="s">
        <v>367</v>
      </c>
      <c r="BL38" s="126" t="s">
        <v>1422</v>
      </c>
      <c r="BM38" s="127" t="str">
        <f t="shared" si="35"/>
        <v>КД ECO-FIT.ECO-Resist</v>
      </c>
      <c r="BS38" s="36" t="s">
        <v>394</v>
      </c>
      <c r="BT38" s="44" t="s">
        <v>471</v>
      </c>
      <c r="BU38" s="66" t="str">
        <f t="shared" si="4"/>
        <v>ДП MILANO.4A.Стандарт</v>
      </c>
      <c r="BW38" s="56" t="s">
        <v>387</v>
      </c>
      <c r="BX38" s="57" t="s">
        <v>139</v>
      </c>
      <c r="BY38" s="66" t="str">
        <f t="shared" si="31"/>
        <v>ДП MILANO.6.Сатин</v>
      </c>
      <c r="CA38" s="220" t="s">
        <v>1814</v>
      </c>
      <c r="CB38" s="19" t="s">
        <v>1340</v>
      </c>
      <c r="CC38" s="130" t="str">
        <f t="shared" si="37"/>
        <v>ДП Florencia.фальц.робоча.Stand цл Лів +3завіс</v>
      </c>
      <c r="CE38" s="511"/>
      <c r="CF38" s="509"/>
      <c r="CG38" s="510"/>
      <c r="CI38" s="53"/>
      <c r="CJ38" s="52"/>
      <c r="CK38" s="66"/>
      <c r="CM38" s="40" t="s">
        <v>1036</v>
      </c>
      <c r="CN38" s="239" t="s">
        <v>1585</v>
      </c>
      <c r="CO38" s="131" t="str">
        <f>CONCATENATE(CM38,".",CN38)</f>
        <v>ДП LIANO.фальц.робоча.КД ECO-FIT Plus</v>
      </c>
      <c r="CQ38" s="52"/>
      <c r="CR38" s="52"/>
      <c r="CS38" s="66"/>
      <c r="CY38" s="138" t="s">
        <v>486</v>
      </c>
      <c r="CZ38" s="129" t="s">
        <v>103</v>
      </c>
      <c r="DA38" s="130" t="s">
        <v>921</v>
      </c>
      <c r="DD38" s="157" t="s">
        <v>1431</v>
      </c>
      <c r="DE38" s="158">
        <v>6110</v>
      </c>
      <c r="DF38" s="490">
        <f t="shared" si="38"/>
        <v>6110</v>
      </c>
      <c r="DG38" s="491" t="s">
        <v>1892</v>
      </c>
      <c r="DH38" s="492">
        <f t="shared" ca="1" si="39"/>
        <v>6110</v>
      </c>
      <c r="DP38" s="56" t="s">
        <v>595</v>
      </c>
      <c r="DQ38" s="97">
        <v>0</v>
      </c>
      <c r="DR38" s="503">
        <f t="shared" si="20"/>
        <v>0</v>
      </c>
      <c r="DS38" s="487"/>
      <c r="DT38" s="486">
        <f t="shared" si="21"/>
        <v>0</v>
      </c>
      <c r="DU38" s="158"/>
      <c r="DV38" s="157" t="s">
        <v>1827</v>
      </c>
      <c r="DW38" s="158">
        <v>0</v>
      </c>
      <c r="DX38" s="490">
        <f>ROUND(((DW38-(DW38/6))/$DD$3)*$DE$3,2)</f>
        <v>0</v>
      </c>
      <c r="DY38" s="491"/>
      <c r="DZ38" s="492">
        <f>IF(DY38="",DX38,
IF(AND($DW$10&gt;=VLOOKUP(DY38,$DV$5:$DZ$9,2,0),$DW$10&lt;=VLOOKUP(DY38,$DV$5:$DZ$9,3,0)),
(DX38*(1-VLOOKUP(DY38,$DV$5:$DZ$9,4,0))),
DX38))</f>
        <v>0</v>
      </c>
      <c r="EB38" s="100" t="s">
        <v>1740</v>
      </c>
      <c r="EC38" s="156">
        <v>195</v>
      </c>
      <c r="ED38" s="498">
        <f t="shared" si="36"/>
        <v>195</v>
      </c>
      <c r="EE38" s="493"/>
      <c r="EF38" s="494">
        <f t="shared" si="15"/>
        <v>195</v>
      </c>
      <c r="EG38" s="157"/>
      <c r="EH38" s="154" t="s">
        <v>1064</v>
      </c>
      <c r="EI38" s="155">
        <v>0</v>
      </c>
      <c r="EJ38" s="504">
        <f>ROUND(((EI38-(EI38/6))/$DD$3)*$DE$3,2)</f>
        <v>0</v>
      </c>
      <c r="EK38" s="496"/>
      <c r="EL38" s="497">
        <f>IF(EK38="",EJ38,
IF(AND($EI$10&gt;=VLOOKUP(EK38,$EH$5:$EL$9,2,0),$EI$10&lt;=VLOOKUP(EK38,$EH$5:$EL$9,3,0)),
(EJ38*(1-VLOOKUP(EK38,$EH$5:$EL$9,4,0))),
EJ38))</f>
        <v>0</v>
      </c>
    </row>
    <row r="39" spans="2:142" x14ac:dyDescent="0.2">
      <c r="B39" s="29"/>
      <c r="C39" s="514"/>
      <c r="D39" s="517"/>
      <c r="E39" s="28"/>
      <c r="G39" s="20"/>
      <c r="H39" s="20"/>
      <c r="I39" s="20"/>
      <c r="J39" s="20"/>
      <c r="K39" s="20"/>
      <c r="L39" s="136" t="s">
        <v>385</v>
      </c>
      <c r="M39" s="44" t="s">
        <v>382</v>
      </c>
      <c r="N39" s="85" t="s">
        <v>730</v>
      </c>
      <c r="O39" s="403" t="s">
        <v>195</v>
      </c>
      <c r="Q39" s="45"/>
      <c r="R39" s="89"/>
      <c r="S39" s="85"/>
      <c r="T39" s="20"/>
      <c r="U39" s="146" t="s">
        <v>1080</v>
      </c>
      <c r="V39" s="143" t="s">
        <v>28</v>
      </c>
      <c r="W39" s="151" t="s">
        <v>965</v>
      </c>
      <c r="X39" s="20"/>
      <c r="AB39" s="20"/>
      <c r="AF39" s="20"/>
      <c r="AJ39" s="20"/>
      <c r="AK39" s="552"/>
      <c r="AL39" s="455"/>
      <c r="AM39" s="553"/>
      <c r="AN39" s="20"/>
      <c r="AO39" s="543"/>
      <c r="AP39" s="456"/>
      <c r="AQ39" s="544"/>
      <c r="AS39" s="20"/>
      <c r="AU39" s="128" t="s">
        <v>477</v>
      </c>
      <c r="AV39" s="140" t="s">
        <v>161</v>
      </c>
      <c r="AW39" s="130" t="str">
        <f t="shared" si="29"/>
        <v>ДП LIANO.4</v>
      </c>
      <c r="AY39" s="220" t="s">
        <v>383</v>
      </c>
      <c r="AZ39" s="129" t="s">
        <v>302</v>
      </c>
      <c r="BA39" s="130" t="str">
        <f t="shared" si="1"/>
        <v>ДП MILANO.2.фальц</v>
      </c>
      <c r="BC39" s="45"/>
      <c r="BD39" s="37"/>
      <c r="BE39" s="66"/>
      <c r="BF39" s="113"/>
      <c r="BG39" s="220" t="s">
        <v>1057</v>
      </c>
      <c r="BH39" s="140" t="s">
        <v>113</v>
      </c>
      <c r="BI39" s="130" t="str">
        <f t="shared" si="30"/>
        <v>2-стулков.(170)</v>
      </c>
      <c r="BK39" s="125" t="s">
        <v>1585</v>
      </c>
      <c r="BL39" s="126" t="s">
        <v>482</v>
      </c>
      <c r="BM39" s="127" t="str">
        <f t="shared" si="35"/>
        <v>КД ECO-FIT Plus.ECO-Cell</v>
      </c>
      <c r="BS39" s="412"/>
      <c r="BT39" s="207"/>
      <c r="BU39" s="208"/>
      <c r="BW39" s="56" t="s">
        <v>387</v>
      </c>
      <c r="BX39" s="57" t="s">
        <v>1546</v>
      </c>
      <c r="BY39" s="66" t="str">
        <f t="shared" si="31"/>
        <v>ДП MILANO.6.Лакобель</v>
      </c>
      <c r="CA39" s="220" t="s">
        <v>1814</v>
      </c>
      <c r="CB39" s="19" t="s">
        <v>1341</v>
      </c>
      <c r="CC39" s="130" t="str">
        <f t="shared" si="37"/>
        <v>ДП Florencia.фальц.робоча.Stand цл Пр +3завіс</v>
      </c>
      <c r="CE39" s="217" t="s">
        <v>1033</v>
      </c>
      <c r="CF39" s="129"/>
      <c r="CG39" s="130" t="str">
        <f t="shared" ref="CG39:CG46" si="40">CONCATENATE(CE39,".",CF39)</f>
        <v>ДП MILANO.фальц.робоча.</v>
      </c>
      <c r="CI39" s="44"/>
      <c r="CJ39" s="44"/>
      <c r="CK39" s="66"/>
      <c r="CM39" s="40" t="s">
        <v>1037</v>
      </c>
      <c r="CN39" s="58" t="s">
        <v>929</v>
      </c>
      <c r="CO39" s="66" t="str">
        <f>CONCATENATE(CM39,".",CN39)</f>
        <v>ДП LIANO.фальц.неробоча.(ні)</v>
      </c>
      <c r="CQ39" s="52"/>
      <c r="CR39" s="52"/>
      <c r="CS39" s="66"/>
      <c r="CY39" s="139" t="s">
        <v>487</v>
      </c>
      <c r="CZ39" s="58" t="s">
        <v>119</v>
      </c>
      <c r="DA39" s="131" t="s">
        <v>921</v>
      </c>
      <c r="DD39" s="157" t="s">
        <v>501</v>
      </c>
      <c r="DE39" s="158">
        <v>5270</v>
      </c>
      <c r="DF39" s="490">
        <f t="shared" si="38"/>
        <v>5270</v>
      </c>
      <c r="DG39" s="491" t="s">
        <v>1892</v>
      </c>
      <c r="DH39" s="492">
        <f t="shared" ca="1" si="39"/>
        <v>5270</v>
      </c>
      <c r="DP39" s="56" t="s">
        <v>1553</v>
      </c>
      <c r="DQ39" s="97">
        <v>520</v>
      </c>
      <c r="DR39" s="503">
        <f>ROUND(((DQ39-(DQ39/6))/$DD$3)*$DE$3,2)</f>
        <v>520</v>
      </c>
      <c r="DS39" s="487"/>
      <c r="DT39" s="486">
        <f>IF(DS39="",DR39,
IF(AND($DQ$10&gt;=VLOOKUP(DS39,$DP$5:$DT$9,2,0),$DQ$10&lt;=VLOOKUP(DS39,$DP$5:$DT$9,3,0)),
(DR39*(1-VLOOKUP(DS39,$DP$5:$DT$9,4,0))),
DR39))</f>
        <v>520</v>
      </c>
      <c r="DU39" s="158"/>
      <c r="DV39" s="157" t="s">
        <v>1828</v>
      </c>
      <c r="DW39" s="158">
        <v>0</v>
      </c>
      <c r="DX39" s="490">
        <f t="shared" si="33"/>
        <v>0</v>
      </c>
      <c r="DY39" s="491"/>
      <c r="DZ39" s="492">
        <f t="shared" si="34"/>
        <v>0</v>
      </c>
      <c r="EB39" s="154" t="s">
        <v>667</v>
      </c>
      <c r="EC39" s="155">
        <v>0</v>
      </c>
      <c r="ED39" s="504">
        <f t="shared" si="36"/>
        <v>0</v>
      </c>
      <c r="EE39" s="496"/>
      <c r="EF39" s="497">
        <f t="shared" si="15"/>
        <v>0</v>
      </c>
      <c r="EG39" s="157"/>
      <c r="EH39" s="154" t="s">
        <v>1527</v>
      </c>
      <c r="EI39" s="155">
        <v>0</v>
      </c>
      <c r="EJ39" s="504">
        <f>ROUND(((EI39-(EI39/6))/$DD$3)*$DE$3,2)</f>
        <v>0</v>
      </c>
      <c r="EK39" s="496"/>
      <c r="EL39" s="497">
        <f>IF(EK39="",EJ39,
IF(AND($EI$10&gt;=VLOOKUP(EK39,$EH$5:$EL$9,2,0),$EI$10&lt;=VLOOKUP(EK39,$EH$5:$EL$9,3,0)),
(EJ39*(1-VLOOKUP(EK39,$EH$5:$EL$9,4,0))),
EJ39))</f>
        <v>0</v>
      </c>
    </row>
    <row r="40" spans="2:142" x14ac:dyDescent="0.2">
      <c r="B40" s="29"/>
      <c r="C40" s="514" t="s">
        <v>877</v>
      </c>
      <c r="D40" s="517" t="s">
        <v>196</v>
      </c>
      <c r="E40" s="28"/>
      <c r="G40" s="20"/>
      <c r="H40" s="20"/>
      <c r="I40" s="20"/>
      <c r="J40" s="20"/>
      <c r="K40" s="20"/>
      <c r="L40" s="136" t="s">
        <v>386</v>
      </c>
      <c r="M40" s="44" t="s">
        <v>382</v>
      </c>
      <c r="N40" s="85" t="s">
        <v>730</v>
      </c>
      <c r="O40" s="403" t="s">
        <v>195</v>
      </c>
      <c r="Q40" s="136" t="s">
        <v>395</v>
      </c>
      <c r="R40" s="89" t="s">
        <v>54</v>
      </c>
      <c r="S40" s="85" t="s">
        <v>277</v>
      </c>
      <c r="T40" s="20"/>
      <c r="U40" s="146" t="s">
        <v>1082</v>
      </c>
      <c r="V40" s="143" t="s">
        <v>29</v>
      </c>
      <c r="W40" s="151" t="s">
        <v>966</v>
      </c>
      <c r="X40" s="20"/>
      <c r="AB40" s="20"/>
      <c r="AF40" s="20"/>
      <c r="AJ40" s="20"/>
      <c r="AK40" s="543"/>
      <c r="AL40" s="456"/>
      <c r="AM40" s="544"/>
      <c r="AN40" s="20"/>
      <c r="AO40" s="541"/>
      <c r="AP40" s="540"/>
      <c r="AQ40" s="542"/>
      <c r="AS40" s="20"/>
      <c r="AU40" s="128" t="s">
        <v>477</v>
      </c>
      <c r="AV40" s="140" t="s">
        <v>162</v>
      </c>
      <c r="AW40" s="130" t="str">
        <f t="shared" si="29"/>
        <v>ДП LIANO.5</v>
      </c>
      <c r="AY40" s="209" t="s">
        <v>383</v>
      </c>
      <c r="AZ40" s="58" t="s">
        <v>303</v>
      </c>
      <c r="BA40" s="131" t="str">
        <f t="shared" si="1"/>
        <v>ДП MILANO.2.купе</v>
      </c>
      <c r="BC40" s="45"/>
      <c r="BD40" s="37"/>
      <c r="BE40" s="66"/>
      <c r="BF40" s="113"/>
      <c r="BG40" s="209" t="s">
        <v>1057</v>
      </c>
      <c r="BH40" s="141" t="s">
        <v>114</v>
      </c>
      <c r="BI40" s="131" t="str">
        <f t="shared" si="30"/>
        <v>2-стулков.(180)</v>
      </c>
      <c r="BK40" s="125" t="s">
        <v>1585</v>
      </c>
      <c r="BL40" s="126" t="s">
        <v>1422</v>
      </c>
      <c r="BM40" s="127" t="str">
        <f t="shared" si="35"/>
        <v>КД ECO-FIT Plus.ECO-Resist</v>
      </c>
      <c r="BS40" s="36" t="s">
        <v>395</v>
      </c>
      <c r="BT40" s="44" t="s">
        <v>471</v>
      </c>
      <c r="BU40" s="66" t="str">
        <f t="shared" si="4"/>
        <v>ДП LIANO.1.Стандарт</v>
      </c>
      <c r="BW40" s="56" t="s">
        <v>388</v>
      </c>
      <c r="BX40" s="57" t="s">
        <v>139</v>
      </c>
      <c r="BY40" s="66" t="str">
        <f t="shared" si="31"/>
        <v>ДП MILANO.7.Сатин</v>
      </c>
      <c r="CA40" s="220" t="s">
        <v>1814</v>
      </c>
      <c r="CC40" s="130"/>
      <c r="CE40" s="220" t="s">
        <v>1033</v>
      </c>
      <c r="CF40" s="129" t="s">
        <v>953</v>
      </c>
      <c r="CG40" s="130" t="str">
        <f t="shared" si="40"/>
        <v>ДП MILANO.фальц.робоча.ВВ</v>
      </c>
      <c r="CI40" s="44"/>
      <c r="CJ40" s="44"/>
      <c r="CK40" s="66"/>
      <c r="CM40" s="36" t="s">
        <v>1038</v>
      </c>
      <c r="CN40" s="52" t="s">
        <v>367</v>
      </c>
      <c r="CO40" s="66" t="str">
        <f>CONCATENATE(CM40,".",CN40)</f>
        <v>ДП LIANO.купе.робоча.КД ECO-FIT</v>
      </c>
      <c r="CQ40" s="52"/>
      <c r="CR40" s="52"/>
      <c r="CS40" s="66"/>
      <c r="CY40" s="138" t="s">
        <v>488</v>
      </c>
      <c r="CZ40" s="129"/>
      <c r="DA40" s="130" t="s">
        <v>921</v>
      </c>
      <c r="DD40" s="157" t="s">
        <v>1432</v>
      </c>
      <c r="DE40" s="158">
        <v>6110</v>
      </c>
      <c r="DF40" s="490">
        <f t="shared" si="38"/>
        <v>6110</v>
      </c>
      <c r="DG40" s="491" t="s">
        <v>1892</v>
      </c>
      <c r="DH40" s="492">
        <f t="shared" ca="1" si="39"/>
        <v>6110</v>
      </c>
      <c r="DP40" s="56" t="s">
        <v>596</v>
      </c>
      <c r="DQ40" s="97">
        <v>0</v>
      </c>
      <c r="DR40" s="503">
        <f t="shared" si="20"/>
        <v>0</v>
      </c>
      <c r="DS40" s="487"/>
      <c r="DT40" s="486">
        <f t="shared" si="21"/>
        <v>0</v>
      </c>
      <c r="DU40" s="158"/>
      <c r="DV40" s="157" t="s">
        <v>1829</v>
      </c>
      <c r="DW40" s="158">
        <v>0</v>
      </c>
      <c r="DX40" s="490">
        <f>ROUND(((DW40-(DW40/6))/$DD$3)*$DE$3,2)</f>
        <v>0</v>
      </c>
      <c r="DY40" s="491"/>
      <c r="DZ40" s="492">
        <f>IF(DY40="",DX40,
IF(AND($DW$10&gt;=VLOOKUP(DY40,$DV$5:$DZ$9,2,0),$DW$10&lt;=VLOOKUP(DY40,$DV$5:$DZ$9,3,0)),
(DX40*(1-VLOOKUP(DY40,$DV$5:$DZ$9,4,0))),
DX40))</f>
        <v>0</v>
      </c>
      <c r="EB40" s="157" t="s">
        <v>968</v>
      </c>
      <c r="EC40" s="158">
        <v>290</v>
      </c>
      <c r="ED40" s="490">
        <f t="shared" si="36"/>
        <v>290</v>
      </c>
      <c r="EE40" s="491"/>
      <c r="EF40" s="492">
        <f t="shared" si="15"/>
        <v>290</v>
      </c>
      <c r="EG40" s="157"/>
      <c r="EH40" s="100" t="s">
        <v>1065</v>
      </c>
      <c r="EI40" s="156">
        <v>1640</v>
      </c>
      <c r="EJ40" s="498">
        <f>ROUND(((EI40-(EI40/6))/$DD$3)*$DE$3,2)</f>
        <v>1640</v>
      </c>
      <c r="EK40" s="493"/>
      <c r="EL40" s="494">
        <f>IF(EK40="",EJ40,
IF(AND($EI$10&gt;=VLOOKUP(EK40,$EH$5:$EL$9,2,0),$EI$10&lt;=VLOOKUP(EK40,$EH$5:$EL$9,3,0)),
(EJ40*(1-VLOOKUP(EK40,$EH$5:$EL$9,4,0))),
EJ40))</f>
        <v>1640</v>
      </c>
    </row>
    <row r="41" spans="2:142" x14ac:dyDescent="0.2">
      <c r="B41" s="29"/>
      <c r="C41" s="514" t="s">
        <v>878</v>
      </c>
      <c r="D41" s="517" t="s">
        <v>196</v>
      </c>
      <c r="E41" s="28"/>
      <c r="G41" s="20"/>
      <c r="H41" s="20"/>
      <c r="I41" s="20"/>
      <c r="J41" s="20"/>
      <c r="K41" s="20"/>
      <c r="L41" s="41" t="s">
        <v>387</v>
      </c>
      <c r="M41" s="44" t="s">
        <v>382</v>
      </c>
      <c r="N41" s="85" t="s">
        <v>730</v>
      </c>
      <c r="O41" s="403" t="s">
        <v>195</v>
      </c>
      <c r="Q41" s="45" t="s">
        <v>397</v>
      </c>
      <c r="R41" s="89" t="s">
        <v>55</v>
      </c>
      <c r="S41" s="85" t="s">
        <v>278</v>
      </c>
      <c r="T41" s="20"/>
      <c r="U41" s="146" t="s">
        <v>1083</v>
      </c>
      <c r="V41" s="143" t="s">
        <v>30</v>
      </c>
      <c r="W41" s="151" t="s">
        <v>967</v>
      </c>
      <c r="X41" s="20"/>
      <c r="AB41" s="20"/>
      <c r="AF41" s="20"/>
      <c r="AJ41" s="20"/>
      <c r="AK41" s="554"/>
      <c r="AL41" s="537"/>
      <c r="AM41" s="555"/>
      <c r="AN41" s="20"/>
      <c r="AS41" s="20"/>
      <c r="AU41" s="128" t="s">
        <v>477</v>
      </c>
      <c r="AV41" s="140" t="s">
        <v>163</v>
      </c>
      <c r="AW41" s="130" t="str">
        <f t="shared" si="29"/>
        <v>ДП LIANO.6</v>
      </c>
      <c r="AY41" s="220" t="s">
        <v>384</v>
      </c>
      <c r="AZ41" s="129" t="s">
        <v>302</v>
      </c>
      <c r="BA41" s="130" t="str">
        <f t="shared" si="1"/>
        <v>ДП MILANO.3.фальц</v>
      </c>
      <c r="BC41" s="45"/>
      <c r="BD41" s="37"/>
      <c r="BE41" s="66"/>
      <c r="BF41" s="113"/>
      <c r="BG41" s="406"/>
      <c r="BH41" s="407"/>
      <c r="BI41" s="408"/>
      <c r="BK41" s="125" t="s">
        <v>368</v>
      </c>
      <c r="BL41" s="126" t="s">
        <v>482</v>
      </c>
      <c r="BM41" s="127" t="str">
        <f t="shared" si="35"/>
        <v>РС ECO-SLIDE.ECO-Cell</v>
      </c>
      <c r="BS41" s="36" t="s">
        <v>397</v>
      </c>
      <c r="BT41" s="44" t="s">
        <v>471</v>
      </c>
      <c r="BU41" s="66" t="str">
        <f t="shared" si="4"/>
        <v>ДП LIANO.2.Стандарт</v>
      </c>
      <c r="BW41" s="56" t="s">
        <v>388</v>
      </c>
      <c r="BX41" s="57" t="s">
        <v>1546</v>
      </c>
      <c r="BY41" s="66" t="str">
        <f t="shared" si="31"/>
        <v>ДП MILANO.7.Лакобель</v>
      </c>
      <c r="CA41" s="220" t="s">
        <v>1814</v>
      </c>
      <c r="CB41" s="19" t="s">
        <v>1344</v>
      </c>
      <c r="CC41" s="130" t="str">
        <f t="shared" si="37"/>
        <v>ДП Florencia.фальц.робоча.Stand ст Лів +3завіс</v>
      </c>
      <c r="CE41" s="209" t="s">
        <v>1033</v>
      </c>
      <c r="CF41" s="58" t="s">
        <v>198</v>
      </c>
      <c r="CG41" s="131" t="str">
        <f t="shared" si="40"/>
        <v>ДП MILANO.фальц.робоча.ВП</v>
      </c>
      <c r="CI41" s="44"/>
      <c r="CJ41" s="44"/>
      <c r="CK41" s="66"/>
      <c r="CM41" s="412"/>
      <c r="CN41" s="407"/>
      <c r="CO41" s="408"/>
      <c r="CQ41" s="526"/>
      <c r="CR41" s="526"/>
      <c r="CS41" s="527"/>
      <c r="CY41" s="138" t="s">
        <v>489</v>
      </c>
      <c r="CZ41" s="129"/>
      <c r="DA41" s="130" t="s">
        <v>921</v>
      </c>
      <c r="DD41" s="157" t="s">
        <v>502</v>
      </c>
      <c r="DE41" s="158">
        <v>5270</v>
      </c>
      <c r="DF41" s="490">
        <f t="shared" si="38"/>
        <v>5270</v>
      </c>
      <c r="DG41" s="491" t="s">
        <v>1892</v>
      </c>
      <c r="DH41" s="492">
        <f t="shared" ca="1" si="39"/>
        <v>5270</v>
      </c>
      <c r="DP41" s="56" t="s">
        <v>1554</v>
      </c>
      <c r="DQ41" s="97">
        <v>520</v>
      </c>
      <c r="DR41" s="503">
        <f>ROUND(((DQ41-(DQ41/6))/$DD$3)*$DE$3,2)</f>
        <v>520</v>
      </c>
      <c r="DS41" s="487"/>
      <c r="DT41" s="486">
        <f>IF(DS41="",DR41,
IF(AND($DQ$10&gt;=VLOOKUP(DS41,$DP$5:$DT$9,2,0),$DQ$10&lt;=VLOOKUP(DS41,$DP$5:$DT$9,3,0)),
(DR41*(1-VLOOKUP(DS41,$DP$5:$DT$9,4,0))),
DR41))</f>
        <v>520</v>
      </c>
      <c r="DU41" s="158"/>
      <c r="DV41" s="56" t="s">
        <v>1830</v>
      </c>
      <c r="DW41" s="97">
        <v>0</v>
      </c>
      <c r="DX41" s="607">
        <f t="shared" si="33"/>
        <v>0</v>
      </c>
      <c r="DY41" s="487"/>
      <c r="DZ41" s="486">
        <f t="shared" si="34"/>
        <v>0</v>
      </c>
      <c r="EB41" s="100" t="s">
        <v>668</v>
      </c>
      <c r="EC41" s="156">
        <v>195</v>
      </c>
      <c r="ED41" s="498">
        <f t="shared" si="36"/>
        <v>195</v>
      </c>
      <c r="EE41" s="493"/>
      <c r="EF41" s="494">
        <f t="shared" si="15"/>
        <v>195</v>
      </c>
      <c r="EG41" s="157"/>
      <c r="EH41" s="100" t="s">
        <v>1528</v>
      </c>
      <c r="EI41" s="156">
        <v>1950</v>
      </c>
      <c r="EJ41" s="498">
        <f>ROUND(((EI41-(EI41/6))/$DD$3)*$DE$3,2)</f>
        <v>1950</v>
      </c>
      <c r="EK41" s="493"/>
      <c r="EL41" s="494">
        <f>IF(EK41="",EJ41,
IF(AND($EI$10&gt;=VLOOKUP(EK41,$EH$5:$EL$9,2,0),$EI$10&lt;=VLOOKUP(EK41,$EH$5:$EL$9,3,0)),
(EJ41*(1-VLOOKUP(EK41,$EH$5:$EL$9,4,0))),
EJ41))</f>
        <v>1950</v>
      </c>
    </row>
    <row r="42" spans="2:142" x14ac:dyDescent="0.2">
      <c r="B42" s="29"/>
      <c r="C42" s="514" t="s">
        <v>879</v>
      </c>
      <c r="D42" s="517" t="s">
        <v>196</v>
      </c>
      <c r="E42" s="28"/>
      <c r="G42" s="20"/>
      <c r="H42" s="20"/>
      <c r="I42" s="20"/>
      <c r="J42" s="20"/>
      <c r="K42" s="20"/>
      <c r="L42" s="41" t="s">
        <v>388</v>
      </c>
      <c r="M42" s="44" t="s">
        <v>382</v>
      </c>
      <c r="N42" s="85" t="s">
        <v>730</v>
      </c>
      <c r="O42" s="403" t="s">
        <v>195</v>
      </c>
      <c r="Q42" s="45" t="s">
        <v>398</v>
      </c>
      <c r="R42" s="89" t="s">
        <v>56</v>
      </c>
      <c r="S42" s="85" t="s">
        <v>279</v>
      </c>
      <c r="T42" s="20"/>
      <c r="U42" s="146" t="s">
        <v>1085</v>
      </c>
      <c r="V42" s="143" t="s">
        <v>31</v>
      </c>
      <c r="W42" s="151" t="s">
        <v>969</v>
      </c>
      <c r="X42" s="20"/>
      <c r="AB42" s="20"/>
      <c r="AF42" s="20"/>
      <c r="AJ42" s="20"/>
      <c r="AK42" s="543"/>
      <c r="AL42" s="456"/>
      <c r="AM42" s="544"/>
      <c r="AN42" s="20"/>
      <c r="AS42" s="20"/>
      <c r="AU42" s="128" t="s">
        <v>477</v>
      </c>
      <c r="AV42" s="140" t="s">
        <v>462</v>
      </c>
      <c r="AW42" s="130" t="str">
        <f t="shared" si="29"/>
        <v>ДП LIANO.1A</v>
      </c>
      <c r="AY42" s="209" t="s">
        <v>384</v>
      </c>
      <c r="AZ42" s="58" t="s">
        <v>303</v>
      </c>
      <c r="BA42" s="131" t="str">
        <f t="shared" si="1"/>
        <v>ДП MILANO.3.купе</v>
      </c>
      <c r="BC42" s="45"/>
      <c r="BD42" s="37"/>
      <c r="BE42" s="66"/>
      <c r="BG42" s="220" t="s">
        <v>1061</v>
      </c>
      <c r="BH42" s="129" t="s">
        <v>99</v>
      </c>
      <c r="BI42" s="130" t="str">
        <f>CONCATENATE(BG42,".",BH42)</f>
        <v>1-стулков..60</v>
      </c>
      <c r="BK42" s="125" t="s">
        <v>368</v>
      </c>
      <c r="BL42" s="126" t="s">
        <v>1422</v>
      </c>
      <c r="BM42" s="127" t="str">
        <f t="shared" si="35"/>
        <v>РС ECO-SLIDE.ECO-Resist</v>
      </c>
      <c r="BS42" s="36" t="s">
        <v>398</v>
      </c>
      <c r="BT42" s="44" t="s">
        <v>471</v>
      </c>
      <c r="BU42" s="66" t="str">
        <f t="shared" si="4"/>
        <v>ДП LIANO.3.Стандарт</v>
      </c>
      <c r="BW42" s="56" t="s">
        <v>389</v>
      </c>
      <c r="BX42" s="57" t="s">
        <v>139</v>
      </c>
      <c r="BY42" s="66" t="str">
        <f t="shared" si="31"/>
        <v>ДП MILANO.8.Сатин</v>
      </c>
      <c r="CA42" s="220" t="s">
        <v>1814</v>
      </c>
      <c r="CB42" s="19" t="s">
        <v>1345</v>
      </c>
      <c r="CC42" s="130" t="str">
        <f t="shared" si="37"/>
        <v>ДП Florencia.фальц.робоча.Stand ст Пр +3завіс</v>
      </c>
      <c r="CE42" s="217" t="s">
        <v>1034</v>
      </c>
      <c r="CF42" s="129"/>
      <c r="CG42" s="130" t="str">
        <f t="shared" si="40"/>
        <v>ДП MILANO.фальц.неробоча.</v>
      </c>
      <c r="CI42" s="521"/>
      <c r="CJ42" s="521"/>
      <c r="CK42" s="527"/>
      <c r="CM42" s="128" t="s">
        <v>1039</v>
      </c>
      <c r="CN42" s="129" t="s">
        <v>366</v>
      </c>
      <c r="CO42" s="130" t="str">
        <f>CONCATENATE(CM42,".",CN42)</f>
        <v>ДП BERGAMO.фальц.робоча.КД Classic</v>
      </c>
      <c r="CY42" s="138" t="s">
        <v>490</v>
      </c>
      <c r="CZ42" s="129"/>
      <c r="DA42" s="130" t="s">
        <v>921</v>
      </c>
      <c r="DD42" s="157" t="s">
        <v>1433</v>
      </c>
      <c r="DE42" s="158">
        <v>6110</v>
      </c>
      <c r="DF42" s="490">
        <f t="shared" si="38"/>
        <v>6110</v>
      </c>
      <c r="DG42" s="491" t="s">
        <v>1892</v>
      </c>
      <c r="DH42" s="492">
        <f t="shared" ca="1" si="39"/>
        <v>6110</v>
      </c>
      <c r="DP42" s="56" t="s">
        <v>597</v>
      </c>
      <c r="DQ42" s="97">
        <v>0</v>
      </c>
      <c r="DR42" s="503">
        <f t="shared" si="20"/>
        <v>0</v>
      </c>
      <c r="DS42" s="487"/>
      <c r="DT42" s="486">
        <f t="shared" si="21"/>
        <v>0</v>
      </c>
      <c r="DU42" s="158"/>
      <c r="DV42" s="157" t="s">
        <v>1831</v>
      </c>
      <c r="DW42" s="158">
        <v>0</v>
      </c>
      <c r="DX42" s="490">
        <f t="shared" si="33"/>
        <v>0</v>
      </c>
      <c r="DY42" s="491"/>
      <c r="DZ42" s="492">
        <f t="shared" si="34"/>
        <v>0</v>
      </c>
      <c r="EB42" s="154" t="s">
        <v>1867</v>
      </c>
      <c r="EC42" s="155">
        <v>0</v>
      </c>
      <c r="ED42" s="504">
        <f>ROUND(((EC42-(EC42/6))/$DD$3)*$DE$3,2)</f>
        <v>0</v>
      </c>
      <c r="EE42" s="496"/>
      <c r="EF42" s="497">
        <f>IF(EE42="",ED42,
IF(AND($EC$10&gt;=VLOOKUP(EE42,$EB$5:$EF$9,2,0),$EC$10&lt;=VLOOKUP(EE42,$EB$5:$EF$9,3,0)),
(ED42*(1-VLOOKUP(EE42,$EB$5:$EF$9,4,0))),
ED42))</f>
        <v>0</v>
      </c>
      <c r="EG42" s="157"/>
      <c r="EH42" s="505"/>
      <c r="EI42" s="506"/>
      <c r="EJ42" s="609"/>
      <c r="EK42" s="610"/>
      <c r="EL42" s="611"/>
    </row>
    <row r="43" spans="2:142" x14ac:dyDescent="0.2">
      <c r="B43" s="29"/>
      <c r="C43" s="514"/>
      <c r="D43" s="517"/>
      <c r="E43" s="28"/>
      <c r="G43" s="20"/>
      <c r="H43" s="20"/>
      <c r="I43" s="20"/>
      <c r="J43" s="20"/>
      <c r="K43" s="20"/>
      <c r="L43" s="41" t="s">
        <v>389</v>
      </c>
      <c r="M43" s="44" t="s">
        <v>382</v>
      </c>
      <c r="N43" s="85" t="s">
        <v>730</v>
      </c>
      <c r="O43" s="403" t="s">
        <v>195</v>
      </c>
      <c r="Q43" s="45" t="s">
        <v>399</v>
      </c>
      <c r="R43" s="89" t="s">
        <v>57</v>
      </c>
      <c r="S43" s="85" t="s">
        <v>280</v>
      </c>
      <c r="T43" s="20"/>
      <c r="U43" s="146" t="s">
        <v>1087</v>
      </c>
      <c r="V43" s="143" t="s">
        <v>32</v>
      </c>
      <c r="W43" s="151" t="s">
        <v>970</v>
      </c>
      <c r="X43" s="20"/>
      <c r="AB43" s="20"/>
      <c r="AF43" s="20"/>
      <c r="AJ43" s="20"/>
      <c r="AK43" s="548" t="s">
        <v>206</v>
      </c>
      <c r="AL43" s="93" t="s">
        <v>99</v>
      </c>
      <c r="AM43" s="550" t="s">
        <v>820</v>
      </c>
      <c r="AN43" s="20"/>
      <c r="AO43" s="541" t="s">
        <v>339</v>
      </c>
      <c r="AP43" s="540"/>
      <c r="AQ43" s="542"/>
      <c r="AS43" s="20"/>
      <c r="AU43" s="128" t="s">
        <v>477</v>
      </c>
      <c r="AV43" s="140" t="s">
        <v>464</v>
      </c>
      <c r="AW43" s="130" t="str">
        <f t="shared" si="29"/>
        <v>ДП LIANO.2A</v>
      </c>
      <c r="AY43" s="220" t="s">
        <v>385</v>
      </c>
      <c r="AZ43" s="129" t="s">
        <v>302</v>
      </c>
      <c r="BA43" s="130" t="str">
        <f t="shared" si="1"/>
        <v>ДП MILANO.4.фальц</v>
      </c>
      <c r="BC43" s="45"/>
      <c r="BD43" s="37"/>
      <c r="BE43" s="66"/>
      <c r="BG43" s="220" t="s">
        <v>1061</v>
      </c>
      <c r="BH43" s="129" t="s">
        <v>100</v>
      </c>
      <c r="BI43" s="130" t="str">
        <f>CONCATENATE(BG43,".",BH43)</f>
        <v>1-стулков..70</v>
      </c>
      <c r="BK43" s="125" t="s">
        <v>369</v>
      </c>
      <c r="BL43" s="126" t="s">
        <v>482</v>
      </c>
      <c r="BM43" s="127" t="str">
        <f t="shared" si="35"/>
        <v>ФР ECO-FIT.ECO-Cell</v>
      </c>
      <c r="BS43" s="36" t="s">
        <v>399</v>
      </c>
      <c r="BT43" s="44" t="s">
        <v>471</v>
      </c>
      <c r="BU43" s="66" t="str">
        <f t="shared" si="4"/>
        <v>ДП LIANO.4.Стандарт</v>
      </c>
      <c r="BW43" s="56" t="s">
        <v>389</v>
      </c>
      <c r="BX43" s="57" t="s">
        <v>1546</v>
      </c>
      <c r="BY43" s="66" t="str">
        <f t="shared" si="31"/>
        <v>ДП MILANO.8.Лакобель</v>
      </c>
      <c r="CA43" s="217" t="s">
        <v>1815</v>
      </c>
      <c r="CB43" s="126" t="s">
        <v>929</v>
      </c>
      <c r="CC43" s="127" t="str">
        <f t="shared" si="37"/>
        <v>ДП Florencia.фальц.неробоча.(ні)</v>
      </c>
      <c r="CE43" s="220" t="s">
        <v>1034</v>
      </c>
      <c r="CF43" s="129" t="s">
        <v>953</v>
      </c>
      <c r="CG43" s="130" t="str">
        <f t="shared" si="40"/>
        <v>ДП MILANO.фальц.неробоча.ВВ</v>
      </c>
      <c r="CM43" s="40" t="s">
        <v>1039</v>
      </c>
      <c r="CN43" s="58" t="s">
        <v>367</v>
      </c>
      <c r="CO43" s="131" t="str">
        <f>CONCATENATE(CM43,".",CN43)</f>
        <v>ДП BERGAMO.фальц.робоча.КД ECO-FIT</v>
      </c>
      <c r="CY43" s="138" t="s">
        <v>491</v>
      </c>
      <c r="CZ43" s="129"/>
      <c r="DA43" s="130" t="s">
        <v>921</v>
      </c>
      <c r="DD43" s="157" t="s">
        <v>503</v>
      </c>
      <c r="DE43" s="158">
        <v>5270</v>
      </c>
      <c r="DF43" s="490">
        <f t="shared" si="38"/>
        <v>5270</v>
      </c>
      <c r="DG43" s="491" t="s">
        <v>1892</v>
      </c>
      <c r="DH43" s="492">
        <f t="shared" ca="1" si="39"/>
        <v>5270</v>
      </c>
      <c r="DP43" s="56" t="s">
        <v>1555</v>
      </c>
      <c r="DQ43" s="97">
        <v>520</v>
      </c>
      <c r="DR43" s="503">
        <f>ROUND(((DQ43-(DQ43/6))/$DD$3)*$DE$3,2)</f>
        <v>520</v>
      </c>
      <c r="DS43" s="487"/>
      <c r="DT43" s="486">
        <f>IF(DS43="",DR43,
IF(AND($DQ$10&gt;=VLOOKUP(DS43,$DP$5:$DT$9,2,0),$DQ$10&lt;=VLOOKUP(DS43,$DP$5:$DT$9,3,0)),
(DR43*(1-VLOOKUP(DS43,$DP$5:$DT$9,4,0))),
DR43))</f>
        <v>520</v>
      </c>
      <c r="DU43" s="158"/>
      <c r="DV43" s="100" t="s">
        <v>1832</v>
      </c>
      <c r="DW43" s="156">
        <v>640</v>
      </c>
      <c r="DX43" s="498">
        <f t="shared" si="33"/>
        <v>640</v>
      </c>
      <c r="DY43" s="493"/>
      <c r="DZ43" s="494">
        <f t="shared" si="34"/>
        <v>640</v>
      </c>
      <c r="EB43" s="157" t="s">
        <v>1868</v>
      </c>
      <c r="EC43" s="158">
        <v>290</v>
      </c>
      <c r="ED43" s="490">
        <f>ROUND(((EC43-(EC43/6))/$DD$3)*$DE$3,2)</f>
        <v>290</v>
      </c>
      <c r="EE43" s="491"/>
      <c r="EF43" s="492">
        <f>IF(EE43="",ED43,
IF(AND($EC$10&gt;=VLOOKUP(EE43,$EB$5:$EF$9,2,0),$EC$10&lt;=VLOOKUP(EE43,$EB$5:$EF$9,3,0)),
(ED43*(1-VLOOKUP(EE43,$EB$5:$EF$9,4,0))),
ED43))</f>
        <v>290</v>
      </c>
      <c r="EG43" s="157"/>
      <c r="EH43" s="154" t="s">
        <v>1067</v>
      </c>
      <c r="EI43" s="155">
        <v>0</v>
      </c>
      <c r="EJ43" s="504">
        <f t="shared" ref="EJ43:EJ55" si="41">ROUND(((EI43-(EI43/6))/$DD$3)*$DE$3,2)</f>
        <v>0</v>
      </c>
      <c r="EK43" s="496"/>
      <c r="EL43" s="497">
        <f>IF(EK43="",EJ43,
IF(AND($EI$10&gt;=VLOOKUP(EK43,$EH$5:$EL$9,2,0),$EI$10&lt;=VLOOKUP(EK43,$EH$5:$EL$9,3,0)),
(EJ43*(1-VLOOKUP(EK43,$EH$5:$EL$9,4,0))),
EJ43))</f>
        <v>0</v>
      </c>
    </row>
    <row r="44" spans="2:142" x14ac:dyDescent="0.2">
      <c r="B44" s="29"/>
      <c r="C44" s="514" t="s">
        <v>370</v>
      </c>
      <c r="D44" s="517" t="s">
        <v>196</v>
      </c>
      <c r="E44" s="28"/>
      <c r="G44" s="20"/>
      <c r="H44" s="20"/>
      <c r="I44" s="20"/>
      <c r="J44" s="20"/>
      <c r="K44" s="20"/>
      <c r="L44" s="41" t="s">
        <v>390</v>
      </c>
      <c r="M44" s="44" t="s">
        <v>382</v>
      </c>
      <c r="N44" s="85" t="s">
        <v>730</v>
      </c>
      <c r="O44" s="403" t="s">
        <v>195</v>
      </c>
      <c r="Q44" s="90" t="s">
        <v>400</v>
      </c>
      <c r="R44" s="89" t="s">
        <v>58</v>
      </c>
      <c r="S44" s="85" t="s">
        <v>281</v>
      </c>
      <c r="T44" s="20"/>
      <c r="U44" s="146" t="s">
        <v>1088</v>
      </c>
      <c r="V44" s="143" t="s">
        <v>33</v>
      </c>
      <c r="W44" s="151" t="s">
        <v>971</v>
      </c>
      <c r="X44" s="20"/>
      <c r="AB44" s="20"/>
      <c r="AF44" s="20"/>
      <c r="AJ44" s="20"/>
      <c r="AK44" s="545" t="s">
        <v>207</v>
      </c>
      <c r="AL44" s="144" t="s">
        <v>276</v>
      </c>
      <c r="AM44" s="546" t="s">
        <v>819</v>
      </c>
      <c r="AN44" s="20"/>
      <c r="AO44" s="545"/>
      <c r="AP44" s="144"/>
      <c r="AQ44" s="546"/>
      <c r="AS44" s="20"/>
      <c r="AU44" s="128" t="s">
        <v>477</v>
      </c>
      <c r="AV44" s="140" t="s">
        <v>466</v>
      </c>
      <c r="AW44" s="130" t="str">
        <f t="shared" si="29"/>
        <v>ДП LIANO.3A</v>
      </c>
      <c r="AY44" s="209" t="s">
        <v>385</v>
      </c>
      <c r="AZ44" s="58" t="s">
        <v>303</v>
      </c>
      <c r="BA44" s="131" t="str">
        <f t="shared" si="1"/>
        <v>ДП MILANO.4.купе</v>
      </c>
      <c r="BC44" s="45"/>
      <c r="BD44" s="37"/>
      <c r="BE44" s="66"/>
      <c r="BG44" s="220" t="s">
        <v>1061</v>
      </c>
      <c r="BH44" s="129" t="s">
        <v>101</v>
      </c>
      <c r="BI44" s="130" t="str">
        <f>CONCATENATE(BG44,".",BH44)</f>
        <v>1-стулков..80</v>
      </c>
      <c r="BK44" s="125" t="s">
        <v>369</v>
      </c>
      <c r="BL44" s="126" t="s">
        <v>1422</v>
      </c>
      <c r="BM44" s="127" t="str">
        <f t="shared" si="35"/>
        <v>ФР ECO-FIT.ECO-Resist</v>
      </c>
      <c r="BS44" s="36" t="s">
        <v>400</v>
      </c>
      <c r="BT44" s="44" t="s">
        <v>471</v>
      </c>
      <c r="BU44" s="66" t="str">
        <f t="shared" si="4"/>
        <v>ДП LIANO.5.Стандарт</v>
      </c>
      <c r="BW44" s="56" t="s">
        <v>390</v>
      </c>
      <c r="BX44" s="57" t="s">
        <v>139</v>
      </c>
      <c r="BY44" s="66" t="str">
        <f t="shared" si="31"/>
        <v>ДП MILANO.9.Сатин</v>
      </c>
      <c r="CA44" s="220" t="s">
        <v>1815</v>
      </c>
      <c r="CB44" s="19" t="s">
        <v>1156</v>
      </c>
      <c r="CC44" s="130" t="str">
        <f t="shared" si="37"/>
        <v>ДП Florencia.фальц.неробоча.Пл Stand +3завіс</v>
      </c>
      <c r="CE44" s="209" t="s">
        <v>1034</v>
      </c>
      <c r="CF44" s="58" t="s">
        <v>198</v>
      </c>
      <c r="CG44" s="131" t="str">
        <f t="shared" si="40"/>
        <v>ДП MILANO.фальц.неробоча.ВП</v>
      </c>
      <c r="CM44" s="40" t="s">
        <v>1039</v>
      </c>
      <c r="CN44" s="239" t="s">
        <v>1585</v>
      </c>
      <c r="CO44" s="131" t="str">
        <f>CONCATENATE(CM44,".",CN44)</f>
        <v>ДП BERGAMO.фальц.робоча.КД ECO-FIT Plus</v>
      </c>
      <c r="CY44" s="139" t="s">
        <v>492</v>
      </c>
      <c r="CZ44" s="58"/>
      <c r="DA44" s="131" t="s">
        <v>921</v>
      </c>
      <c r="DD44" s="157" t="s">
        <v>1434</v>
      </c>
      <c r="DE44" s="158">
        <v>6110</v>
      </c>
      <c r="DF44" s="490">
        <f t="shared" si="38"/>
        <v>6110</v>
      </c>
      <c r="DG44" s="491" t="s">
        <v>1892</v>
      </c>
      <c r="DH44" s="492">
        <f t="shared" ca="1" si="39"/>
        <v>6110</v>
      </c>
      <c r="DP44" s="56" t="s">
        <v>598</v>
      </c>
      <c r="DQ44" s="97">
        <v>0</v>
      </c>
      <c r="DR44" s="503">
        <f t="shared" si="20"/>
        <v>0</v>
      </c>
      <c r="DS44" s="487"/>
      <c r="DT44" s="486">
        <f t="shared" si="21"/>
        <v>0</v>
      </c>
      <c r="DU44" s="158"/>
      <c r="DV44" s="600"/>
      <c r="DW44" s="601"/>
      <c r="DX44" s="604"/>
      <c r="DY44" s="605"/>
      <c r="DZ44" s="606"/>
      <c r="EB44" s="100" t="s">
        <v>1869</v>
      </c>
      <c r="EC44" s="156">
        <v>195</v>
      </c>
      <c r="ED44" s="498">
        <f>ROUND(((EC44-(EC44/6))/$DD$3)*$DE$3,2)</f>
        <v>195</v>
      </c>
      <c r="EE44" s="493"/>
      <c r="EF44" s="494">
        <f>IF(EE44="",ED44,
IF(AND($EC$10&gt;=VLOOKUP(EE44,$EB$5:$EF$9,2,0),$EC$10&lt;=VLOOKUP(EE44,$EB$5:$EF$9,3,0)),
(ED44*(1-VLOOKUP(EE44,$EB$5:$EF$9,4,0))),
ED44))</f>
        <v>195</v>
      </c>
      <c r="EG44" s="157"/>
      <c r="EH44" s="154" t="s">
        <v>1529</v>
      </c>
      <c r="EI44" s="155">
        <v>0</v>
      </c>
      <c r="EJ44" s="504">
        <f>ROUND(((EI44-(EI44/6))/$DD$3)*$DE$3,2)</f>
        <v>0</v>
      </c>
      <c r="EK44" s="496"/>
      <c r="EL44" s="497">
        <f>IF(EK44="",EJ44,
IF(AND($EI$10&gt;=VLOOKUP(EK44,$EH$5:$EL$9,2,0),$EI$10&lt;=VLOOKUP(EK44,$EH$5:$EL$9,3,0)),
(EJ44*(1-VLOOKUP(EK44,$EH$5:$EL$9,4,0))),
EJ44))</f>
        <v>0</v>
      </c>
    </row>
    <row r="45" spans="2:142" x14ac:dyDescent="0.2">
      <c r="B45" s="29"/>
      <c r="C45" s="514" t="s">
        <v>371</v>
      </c>
      <c r="D45" s="517" t="s">
        <v>196</v>
      </c>
      <c r="E45" s="28"/>
      <c r="F45" s="20"/>
      <c r="G45" s="20"/>
      <c r="H45" s="20"/>
      <c r="I45" s="20"/>
      <c r="J45" s="20"/>
      <c r="K45" s="20"/>
      <c r="L45" s="41" t="s">
        <v>391</v>
      </c>
      <c r="M45" s="44" t="s">
        <v>382</v>
      </c>
      <c r="N45" s="85" t="s">
        <v>730</v>
      </c>
      <c r="O45" s="403" t="s">
        <v>195</v>
      </c>
      <c r="Q45" s="90" t="s">
        <v>401</v>
      </c>
      <c r="R45" s="89" t="s">
        <v>59</v>
      </c>
      <c r="S45" s="85" t="s">
        <v>282</v>
      </c>
      <c r="T45" s="20"/>
      <c r="U45" s="147" t="s">
        <v>1090</v>
      </c>
      <c r="V45" s="144" t="s">
        <v>34</v>
      </c>
      <c r="W45" s="152" t="s">
        <v>972</v>
      </c>
      <c r="X45" s="20"/>
      <c r="AB45" s="20"/>
      <c r="AF45" s="20"/>
      <c r="AJ45" s="20"/>
      <c r="AK45" s="548" t="s">
        <v>961</v>
      </c>
      <c r="AL45" s="93" t="s">
        <v>337</v>
      </c>
      <c r="AM45" s="550" t="s">
        <v>818</v>
      </c>
      <c r="AN45" s="20"/>
      <c r="AO45" s="543" t="s">
        <v>933</v>
      </c>
      <c r="AP45" s="93" t="s">
        <v>65</v>
      </c>
      <c r="AQ45" s="550" t="s">
        <v>828</v>
      </c>
      <c r="AS45" s="20"/>
      <c r="AU45" s="40" t="s">
        <v>477</v>
      </c>
      <c r="AV45" s="141" t="s">
        <v>468</v>
      </c>
      <c r="AW45" s="131" t="str">
        <f t="shared" si="29"/>
        <v>ДП LIANO.4A</v>
      </c>
      <c r="AY45" s="220" t="s">
        <v>386</v>
      </c>
      <c r="AZ45" s="129" t="s">
        <v>302</v>
      </c>
      <c r="BA45" s="130" t="str">
        <f t="shared" si="1"/>
        <v>ДП MILANO.5.фальц</v>
      </c>
      <c r="BC45" s="528"/>
      <c r="BD45" s="526"/>
      <c r="BE45" s="527"/>
      <c r="BG45" s="220" t="s">
        <v>1061</v>
      </c>
      <c r="BH45" s="129" t="s">
        <v>102</v>
      </c>
      <c r="BI45" s="130" t="str">
        <f>CONCATENATE(BG45,".",BH45)</f>
        <v>1-стулков..90</v>
      </c>
      <c r="BK45" s="408"/>
      <c r="BL45" s="408"/>
      <c r="BM45" s="408"/>
      <c r="BS45" s="36" t="s">
        <v>401</v>
      </c>
      <c r="BT45" s="44" t="s">
        <v>471</v>
      </c>
      <c r="BU45" s="66" t="str">
        <f t="shared" si="4"/>
        <v>ДП LIANO.6.Стандарт</v>
      </c>
      <c r="BW45" s="56" t="s">
        <v>390</v>
      </c>
      <c r="BX45" s="57" t="s">
        <v>1546</v>
      </c>
      <c r="BY45" s="66" t="str">
        <f t="shared" si="31"/>
        <v>ДП MILANO.9.Лакобель</v>
      </c>
      <c r="CA45" s="217" t="s">
        <v>1816</v>
      </c>
      <c r="CB45" s="126" t="s">
        <v>929</v>
      </c>
      <c r="CC45" s="127" t="str">
        <f t="shared" si="37"/>
        <v>ДП Florencia.купе.робоча.(ні)</v>
      </c>
      <c r="CE45" s="217" t="s">
        <v>1035</v>
      </c>
      <c r="CF45" s="129"/>
      <c r="CG45" s="130" t="str">
        <f t="shared" si="40"/>
        <v>ДП MILANO.купе.робоча.</v>
      </c>
      <c r="CM45" s="40" t="s">
        <v>1040</v>
      </c>
      <c r="CN45" s="58" t="s">
        <v>929</v>
      </c>
      <c r="CO45" s="66" t="str">
        <f>CONCATENATE(CM45,".",CN45)</f>
        <v>ДП BERGAMO.фальц.неробоча.(ні)</v>
      </c>
      <c r="CY45" s="138" t="s">
        <v>1586</v>
      </c>
      <c r="CZ45" s="129"/>
      <c r="DA45" s="130" t="s">
        <v>921</v>
      </c>
      <c r="DD45" s="157" t="s">
        <v>504</v>
      </c>
      <c r="DE45" s="158">
        <v>5270</v>
      </c>
      <c r="DF45" s="490">
        <f t="shared" si="38"/>
        <v>5270</v>
      </c>
      <c r="DG45" s="491" t="s">
        <v>1892</v>
      </c>
      <c r="DH45" s="492">
        <f t="shared" ca="1" si="39"/>
        <v>5270</v>
      </c>
      <c r="DP45" s="56" t="s">
        <v>1556</v>
      </c>
      <c r="DQ45" s="97">
        <v>520</v>
      </c>
      <c r="DR45" s="503">
        <f>ROUND(((DQ45-(DQ45/6))/$DD$3)*$DE$3,2)</f>
        <v>520</v>
      </c>
      <c r="DS45" s="487"/>
      <c r="DT45" s="486">
        <f>IF(DS45="",DR45,
IF(AND($DQ$10&gt;=VLOOKUP(DS45,$DP$5:$DT$9,2,0),$DQ$10&lt;=VLOOKUP(DS45,$DP$5:$DT$9,3,0)),
(DR45*(1-VLOOKUP(DS45,$DP$5:$DT$9,4,0))),
DR45))</f>
        <v>520</v>
      </c>
      <c r="DU45" s="158"/>
      <c r="DV45" s="56" t="s">
        <v>935</v>
      </c>
      <c r="DW45" s="97">
        <v>0</v>
      </c>
      <c r="DX45" s="388">
        <f t="shared" ref="DX45:DX54" si="42">ROUND(((DW45-(DW45/6))/$DD$3)*$DE$3,2)</f>
        <v>0</v>
      </c>
      <c r="DY45" s="487"/>
      <c r="DZ45" s="486">
        <f t="shared" ref="DZ45:DZ54" si="43">IF(DY45="",DX45,
IF(AND($DW$10&gt;=VLOOKUP(DY45,$DV$5:$DZ$9,2,0),$DW$10&lt;=VLOOKUP(DY45,$DV$5:$DZ$9,3,0)),
(DX45*(1-VLOOKUP(DY45,$DV$5:$DZ$9,4,0))),
DX45))</f>
        <v>0</v>
      </c>
      <c r="EB45" s="100"/>
      <c r="EC45" s="156"/>
      <c r="ED45" s="498"/>
      <c r="EE45" s="493"/>
      <c r="EF45" s="494"/>
      <c r="EG45" s="157"/>
      <c r="EH45" s="100" t="s">
        <v>1070</v>
      </c>
      <c r="EI45" s="156">
        <v>1710</v>
      </c>
      <c r="EJ45" s="498">
        <f t="shared" si="41"/>
        <v>1710</v>
      </c>
      <c r="EK45" s="493"/>
      <c r="EL45" s="494">
        <f>IF(EK45="",EJ45,
IF(AND($EI$10&gt;=VLOOKUP(EK45,$EH$5:$EL$9,2,0),$EI$10&lt;=VLOOKUP(EK45,$EH$5:$EL$9,3,0)),
(EJ45*(1-VLOOKUP(EK45,$EH$5:$EL$9,4,0))),
EJ45))</f>
        <v>1710</v>
      </c>
    </row>
    <row r="46" spans="2:142" x14ac:dyDescent="0.2">
      <c r="B46" s="29"/>
      <c r="C46" s="514" t="s">
        <v>372</v>
      </c>
      <c r="D46" s="517" t="s">
        <v>196</v>
      </c>
      <c r="E46" s="28"/>
      <c r="F46" s="20"/>
      <c r="G46" s="20"/>
      <c r="H46" s="20"/>
      <c r="I46" s="20"/>
      <c r="J46" s="20"/>
      <c r="K46" s="20"/>
      <c r="L46" s="41" t="s">
        <v>392</v>
      </c>
      <c r="M46" s="44" t="s">
        <v>382</v>
      </c>
      <c r="N46" s="85" t="s">
        <v>730</v>
      </c>
      <c r="O46" s="403" t="s">
        <v>195</v>
      </c>
      <c r="P46" s="20"/>
      <c r="Q46" s="45" t="s">
        <v>402</v>
      </c>
      <c r="R46" s="89" t="s">
        <v>462</v>
      </c>
      <c r="S46" s="85" t="s">
        <v>463</v>
      </c>
      <c r="T46" s="20"/>
      <c r="U46" s="415"/>
      <c r="V46" s="416"/>
      <c r="W46" s="151"/>
      <c r="X46" s="20"/>
      <c r="AB46" s="20"/>
      <c r="AF46" s="20"/>
      <c r="AJ46" s="20"/>
      <c r="AK46" s="545" t="s">
        <v>963</v>
      </c>
      <c r="AL46" s="144" t="s">
        <v>338</v>
      </c>
      <c r="AM46" s="546" t="s">
        <v>821</v>
      </c>
      <c r="AN46" s="20"/>
      <c r="AO46" s="552"/>
      <c r="AP46" s="455"/>
      <c r="AQ46" s="553"/>
      <c r="AS46" s="20"/>
      <c r="AU46" s="128" t="s">
        <v>478</v>
      </c>
      <c r="AV46" s="140" t="s">
        <v>164</v>
      </c>
      <c r="AW46" s="130" t="str">
        <f t="shared" si="29"/>
        <v>ДП BERGAMO.1</v>
      </c>
      <c r="AY46" s="209" t="s">
        <v>386</v>
      </c>
      <c r="AZ46" s="58" t="s">
        <v>303</v>
      </c>
      <c r="BA46" s="131" t="str">
        <f t="shared" si="1"/>
        <v>ДП MILANO.5.купе</v>
      </c>
      <c r="BG46" s="406"/>
      <c r="BH46" s="407"/>
      <c r="BI46" s="408"/>
      <c r="BK46" s="125" t="s">
        <v>873</v>
      </c>
      <c r="BL46" s="126" t="s">
        <v>482</v>
      </c>
      <c r="BM46" s="127" t="str">
        <f t="shared" ref="BM46:BM65" si="44">CONCATENATE(BK46,".",BL46)</f>
        <v>Лиштва пряма 60мм.ECO-Cell</v>
      </c>
      <c r="BS46" s="36" t="s">
        <v>402</v>
      </c>
      <c r="BT46" s="44" t="s">
        <v>471</v>
      </c>
      <c r="BU46" s="66" t="str">
        <f t="shared" si="4"/>
        <v>ДП LIANO.1A.Стандарт</v>
      </c>
      <c r="BW46" s="56" t="s">
        <v>391</v>
      </c>
      <c r="BX46" s="57" t="s">
        <v>139</v>
      </c>
      <c r="BY46" s="66" t="str">
        <f t="shared" si="31"/>
        <v>ДП MILANO.1A.Сатин</v>
      </c>
      <c r="CA46" s="220" t="s">
        <v>1816</v>
      </c>
      <c r="CB46" s="129" t="s">
        <v>140</v>
      </c>
      <c r="CC46" s="130" t="str">
        <f t="shared" si="37"/>
        <v>ДП Florencia.купе.робоча.Ручка-Захват</v>
      </c>
      <c r="CE46" s="220" t="s">
        <v>1035</v>
      </c>
      <c r="CF46" s="58" t="s">
        <v>953</v>
      </c>
      <c r="CG46" s="131" t="str">
        <f t="shared" si="40"/>
        <v>ДП MILANO.купе.робоча.ВВ</v>
      </c>
      <c r="CM46" s="36" t="s">
        <v>1041</v>
      </c>
      <c r="CN46" s="52" t="s">
        <v>367</v>
      </c>
      <c r="CO46" s="66" t="str">
        <f>CONCATENATE(CM46,".",CN46)</f>
        <v>ДП BERGAMO.купе.робоча.КД ECO-FIT</v>
      </c>
      <c r="CY46" s="138" t="s">
        <v>1587</v>
      </c>
      <c r="CZ46" s="129"/>
      <c r="DA46" s="130" t="s">
        <v>921</v>
      </c>
      <c r="DD46" s="157" t="s">
        <v>1435</v>
      </c>
      <c r="DE46" s="158">
        <v>6110</v>
      </c>
      <c r="DF46" s="490">
        <f t="shared" si="38"/>
        <v>6110</v>
      </c>
      <c r="DG46" s="491" t="s">
        <v>1892</v>
      </c>
      <c r="DH46" s="492">
        <f t="shared" ca="1" si="39"/>
        <v>6110</v>
      </c>
      <c r="DP46" s="56" t="s">
        <v>599</v>
      </c>
      <c r="DQ46" s="97">
        <v>0</v>
      </c>
      <c r="DR46" s="503">
        <f t="shared" si="20"/>
        <v>0</v>
      </c>
      <c r="DS46" s="487"/>
      <c r="DT46" s="486">
        <f t="shared" si="21"/>
        <v>0</v>
      </c>
      <c r="DU46" s="158"/>
      <c r="DV46" s="154" t="s">
        <v>1352</v>
      </c>
      <c r="DW46" s="155">
        <v>0</v>
      </c>
      <c r="DX46" s="495">
        <f t="shared" si="42"/>
        <v>0</v>
      </c>
      <c r="DY46" s="496"/>
      <c r="DZ46" s="497">
        <f t="shared" si="43"/>
        <v>0</v>
      </c>
      <c r="EB46" s="241"/>
      <c r="EC46" s="242"/>
      <c r="ED46" s="243"/>
      <c r="EE46" s="242"/>
      <c r="EF46" s="244"/>
      <c r="EG46" s="157"/>
      <c r="EH46" s="100" t="s">
        <v>1530</v>
      </c>
      <c r="EI46" s="156">
        <v>2050</v>
      </c>
      <c r="EJ46" s="498">
        <f>ROUND(((EI46-(EI46/6))/$DD$3)*$DE$3,2)</f>
        <v>2050</v>
      </c>
      <c r="EK46" s="493"/>
      <c r="EL46" s="494">
        <f>IF(EK46="",EJ46,
IF(AND($EI$10&gt;=VLOOKUP(EK46,$EH$5:$EL$9,2,0),$EI$10&lt;=VLOOKUP(EK46,$EH$5:$EL$9,3,0)),
(EJ46*(1-VLOOKUP(EK46,$EH$5:$EL$9,4,0))),
EJ46))</f>
        <v>2050</v>
      </c>
    </row>
    <row r="47" spans="2:142" x14ac:dyDescent="0.2">
      <c r="B47" s="29"/>
      <c r="C47" s="514"/>
      <c r="D47" s="517"/>
      <c r="E47" s="28"/>
      <c r="F47" s="20"/>
      <c r="G47" s="20"/>
      <c r="H47" s="20"/>
      <c r="I47" s="20"/>
      <c r="J47" s="20"/>
      <c r="K47" s="20"/>
      <c r="L47" s="41" t="s">
        <v>393</v>
      </c>
      <c r="M47" s="44" t="s">
        <v>382</v>
      </c>
      <c r="N47" s="85" t="s">
        <v>730</v>
      </c>
      <c r="O47" s="403" t="s">
        <v>195</v>
      </c>
      <c r="P47" s="20"/>
      <c r="Q47" s="45" t="s">
        <v>403</v>
      </c>
      <c r="R47" s="89" t="s">
        <v>464</v>
      </c>
      <c r="S47" s="85" t="s">
        <v>465</v>
      </c>
      <c r="T47" s="20"/>
      <c r="U47" s="145" t="s">
        <v>1092</v>
      </c>
      <c r="V47" s="93" t="s">
        <v>81</v>
      </c>
      <c r="W47" s="92" t="s">
        <v>776</v>
      </c>
      <c r="X47" s="20"/>
      <c r="AB47" s="20"/>
      <c r="AF47" s="20"/>
      <c r="AJ47" s="20"/>
      <c r="AK47" s="552"/>
      <c r="AL47" s="455"/>
      <c r="AM47" s="553"/>
      <c r="AN47" s="20"/>
      <c r="AO47" s="548" t="s">
        <v>1153</v>
      </c>
      <c r="AP47" s="93" t="s">
        <v>1188</v>
      </c>
      <c r="AQ47" s="550" t="s">
        <v>826</v>
      </c>
      <c r="AS47" s="20"/>
      <c r="AU47" s="128" t="s">
        <v>478</v>
      </c>
      <c r="AV47" s="140" t="s">
        <v>165</v>
      </c>
      <c r="AW47" s="130" t="str">
        <f t="shared" si="29"/>
        <v>ДП BERGAMO.2</v>
      </c>
      <c r="AY47" s="220" t="s">
        <v>387</v>
      </c>
      <c r="AZ47" s="129" t="s">
        <v>302</v>
      </c>
      <c r="BA47" s="130" t="str">
        <f t="shared" si="1"/>
        <v>ДП MILANO.6.фальц</v>
      </c>
      <c r="BG47" s="77" t="s">
        <v>1069</v>
      </c>
      <c r="BH47" s="37" t="s">
        <v>103</v>
      </c>
      <c r="BI47" s="66" t="str">
        <f>CONCATENATE(BG47,".",BH47)</f>
        <v>1-стулков,.100</v>
      </c>
      <c r="BK47" s="125" t="s">
        <v>873</v>
      </c>
      <c r="BL47" s="126" t="s">
        <v>1422</v>
      </c>
      <c r="BM47" s="127" t="str">
        <f t="shared" si="44"/>
        <v>Лиштва пряма 60мм.ECO-Resist</v>
      </c>
      <c r="BS47" s="36" t="s">
        <v>403</v>
      </c>
      <c r="BT47" s="44" t="s">
        <v>471</v>
      </c>
      <c r="BU47" s="66" t="str">
        <f t="shared" si="4"/>
        <v>ДП LIANO.2A.Стандарт</v>
      </c>
      <c r="BW47" s="56" t="s">
        <v>391</v>
      </c>
      <c r="BX47" s="57" t="s">
        <v>1546</v>
      </c>
      <c r="BY47" s="66" t="str">
        <f t="shared" si="31"/>
        <v>ДП MILANO.1A.Лакобель</v>
      </c>
      <c r="CA47" s="220" t="s">
        <v>1816</v>
      </c>
      <c r="CB47" s="129" t="s">
        <v>192</v>
      </c>
      <c r="CC47" s="130" t="str">
        <f t="shared" si="37"/>
        <v>ДП Florencia.купе.робоча.Ручка-Замок</v>
      </c>
      <c r="CE47" s="511"/>
      <c r="CF47" s="509"/>
      <c r="CG47" s="510"/>
      <c r="CM47" s="412"/>
      <c r="CN47" s="407"/>
      <c r="CO47" s="408"/>
      <c r="CY47" s="138" t="s">
        <v>1588</v>
      </c>
      <c r="CZ47" s="129"/>
      <c r="DA47" s="130" t="s">
        <v>921</v>
      </c>
      <c r="DD47" s="157" t="s">
        <v>505</v>
      </c>
      <c r="DE47" s="158">
        <v>5270</v>
      </c>
      <c r="DF47" s="490">
        <f t="shared" si="38"/>
        <v>5270</v>
      </c>
      <c r="DG47" s="491" t="s">
        <v>1892</v>
      </c>
      <c r="DH47" s="492">
        <f t="shared" ca="1" si="39"/>
        <v>5270</v>
      </c>
      <c r="DP47" s="56" t="s">
        <v>1557</v>
      </c>
      <c r="DQ47" s="97">
        <v>520</v>
      </c>
      <c r="DR47" s="503">
        <f>ROUND(((DQ47-(DQ47/6))/$DD$3)*$DE$3,2)</f>
        <v>520</v>
      </c>
      <c r="DS47" s="487"/>
      <c r="DT47" s="486">
        <f>IF(DS47="",DR47,
IF(AND($DQ$10&gt;=VLOOKUP(DS47,$DP$5:$DT$9,2,0),$DQ$10&lt;=VLOOKUP(DS47,$DP$5:$DT$9,3,0)),
(DR47*(1-VLOOKUP(DS47,$DP$5:$DT$9,4,0))),
DR47))</f>
        <v>520</v>
      </c>
      <c r="DU47" s="158"/>
      <c r="DV47" s="154" t="s">
        <v>1353</v>
      </c>
      <c r="DW47" s="158">
        <v>0</v>
      </c>
      <c r="DX47" s="490">
        <f>ROUND(((DW47-(DW47/6))/$DD$3)*$DE$3,2)</f>
        <v>0</v>
      </c>
      <c r="DY47" s="491"/>
      <c r="DZ47" s="492">
        <f>IF(DY47="",DX47,
IF(AND($DW$10&gt;=VLOOKUP(DY47,$DV$5:$DZ$9,2,0),$DW$10&lt;=VLOOKUP(DY47,$DV$5:$DZ$9,3,0)),
(DX47*(1-VLOOKUP(DY47,$DV$5:$DZ$9,4,0))),
DX47))</f>
        <v>0</v>
      </c>
      <c r="EB47" s="56"/>
      <c r="EC47" s="97"/>
      <c r="ED47" s="111"/>
      <c r="EE47" s="95"/>
      <c r="EF47" s="99"/>
      <c r="EG47" s="157"/>
      <c r="EH47" s="505"/>
      <c r="EI47" s="506"/>
      <c r="EJ47" s="609"/>
      <c r="EK47" s="610"/>
      <c r="EL47" s="611"/>
    </row>
    <row r="48" spans="2:142" x14ac:dyDescent="0.2">
      <c r="B48" s="29"/>
      <c r="C48" s="514" t="s">
        <v>1418</v>
      </c>
      <c r="D48" s="517" t="s">
        <v>195</v>
      </c>
      <c r="E48" s="28"/>
      <c r="F48" s="20"/>
      <c r="G48" s="20"/>
      <c r="H48" s="20"/>
      <c r="I48" s="20"/>
      <c r="J48" s="20"/>
      <c r="K48" s="20"/>
      <c r="L48" s="41" t="s">
        <v>394</v>
      </c>
      <c r="M48" s="44" t="s">
        <v>382</v>
      </c>
      <c r="N48" s="85" t="s">
        <v>730</v>
      </c>
      <c r="O48" s="403" t="s">
        <v>195</v>
      </c>
      <c r="P48" s="20"/>
      <c r="Q48" s="136" t="s">
        <v>404</v>
      </c>
      <c r="R48" s="89" t="s">
        <v>466</v>
      </c>
      <c r="S48" s="85" t="s">
        <v>467</v>
      </c>
      <c r="T48" s="20"/>
      <c r="U48" s="146" t="s">
        <v>1093</v>
      </c>
      <c r="V48" s="143" t="s">
        <v>82</v>
      </c>
      <c r="W48" s="151" t="s">
        <v>777</v>
      </c>
      <c r="X48" s="20"/>
      <c r="AB48" s="20"/>
      <c r="AF48" s="20"/>
      <c r="AJ48" s="20"/>
      <c r="AK48" s="543"/>
      <c r="AL48" s="456"/>
      <c r="AM48" s="544"/>
      <c r="AN48" s="20"/>
      <c r="AO48" s="545" t="s">
        <v>1154</v>
      </c>
      <c r="AP48" s="144" t="s">
        <v>66</v>
      </c>
      <c r="AQ48" s="546" t="s">
        <v>827</v>
      </c>
      <c r="AS48" s="20"/>
      <c r="AU48" s="128" t="s">
        <v>478</v>
      </c>
      <c r="AV48" s="140" t="s">
        <v>166</v>
      </c>
      <c r="AW48" s="130" t="str">
        <f t="shared" si="29"/>
        <v>ДП BERGAMO.3</v>
      </c>
      <c r="AY48" s="209" t="s">
        <v>387</v>
      </c>
      <c r="AZ48" s="58" t="s">
        <v>303</v>
      </c>
      <c r="BA48" s="131" t="str">
        <f t="shared" si="1"/>
        <v>ДП MILANO.6.купе</v>
      </c>
      <c r="BG48" s="404" t="s">
        <v>1072</v>
      </c>
      <c r="BH48" s="141" t="s">
        <v>119</v>
      </c>
      <c r="BI48" s="131" t="str">
        <f>CONCATENATE(BG48,".",BH48)</f>
        <v>2-стулков,.200</v>
      </c>
      <c r="BK48" s="125" t="s">
        <v>1709</v>
      </c>
      <c r="BL48" s="126" t="s">
        <v>482</v>
      </c>
      <c r="BM48" s="127" t="str">
        <f t="shared" si="44"/>
        <v>Лиштва пряма 80мм.ECO-Cell</v>
      </c>
      <c r="BS48" s="36" t="s">
        <v>404</v>
      </c>
      <c r="BT48" s="44" t="s">
        <v>471</v>
      </c>
      <c r="BU48" s="66" t="str">
        <f t="shared" si="4"/>
        <v>ДП LIANO.3A.Стандарт</v>
      </c>
      <c r="BW48" s="56" t="s">
        <v>392</v>
      </c>
      <c r="BX48" s="57" t="s">
        <v>139</v>
      </c>
      <c r="BY48" s="66" t="str">
        <f t="shared" si="31"/>
        <v>ДП MILANO.2A.Сатин</v>
      </c>
      <c r="CA48" s="412"/>
      <c r="CB48" s="207"/>
      <c r="CC48" s="208"/>
      <c r="CE48" s="217" t="s">
        <v>1036</v>
      </c>
      <c r="CF48" s="129"/>
      <c r="CG48" s="130" t="str">
        <f t="shared" ref="CG48:CG55" si="45">CONCATENATE(CE48,".",CF48)</f>
        <v>ДП LIANO.фальц.робоча.</v>
      </c>
      <c r="CM48" s="128" t="s">
        <v>1042</v>
      </c>
      <c r="CN48" s="129" t="s">
        <v>366</v>
      </c>
      <c r="CO48" s="130" t="str">
        <f>CONCATENATE(CM48,".",CN48)</f>
        <v>ДП GRANDE.фальц.робоча.КД Classic</v>
      </c>
      <c r="CY48" s="138" t="s">
        <v>1589</v>
      </c>
      <c r="CZ48" s="129"/>
      <c r="DA48" s="130" t="s">
        <v>921</v>
      </c>
      <c r="DD48" s="157" t="s">
        <v>1436</v>
      </c>
      <c r="DE48" s="158">
        <v>6110</v>
      </c>
      <c r="DF48" s="490">
        <f t="shared" si="38"/>
        <v>6110</v>
      </c>
      <c r="DG48" s="491" t="s">
        <v>1892</v>
      </c>
      <c r="DH48" s="492">
        <f t="shared" ca="1" si="39"/>
        <v>6110</v>
      </c>
      <c r="DP48" s="56" t="s">
        <v>600</v>
      </c>
      <c r="DQ48" s="97">
        <v>0</v>
      </c>
      <c r="DR48" s="503">
        <f t="shared" si="20"/>
        <v>0</v>
      </c>
      <c r="DS48" s="487"/>
      <c r="DT48" s="486">
        <f t="shared" si="21"/>
        <v>0</v>
      </c>
      <c r="DU48" s="158"/>
      <c r="DV48" s="157" t="s">
        <v>1354</v>
      </c>
      <c r="DW48" s="158">
        <v>0</v>
      </c>
      <c r="DX48" s="490">
        <f t="shared" si="42"/>
        <v>0</v>
      </c>
      <c r="DY48" s="491"/>
      <c r="DZ48" s="492">
        <f t="shared" si="43"/>
        <v>0</v>
      </c>
      <c r="EB48" s="56"/>
      <c r="EC48" s="97"/>
      <c r="ED48" s="111"/>
      <c r="EE48" s="95"/>
      <c r="EF48" s="99"/>
      <c r="EG48" s="157"/>
      <c r="EH48" s="154" t="s">
        <v>1074</v>
      </c>
      <c r="EI48" s="155">
        <v>0</v>
      </c>
      <c r="EJ48" s="504">
        <f t="shared" si="41"/>
        <v>0</v>
      </c>
      <c r="EK48" s="496"/>
      <c r="EL48" s="497">
        <f>IF(EK48="",EJ48,
IF(AND($EI$10&gt;=VLOOKUP(EK48,$EH$5:$EL$9,2,0),$EI$10&lt;=VLOOKUP(EK48,$EH$5:$EL$9,3,0)),
(EJ48*(1-VLOOKUP(EK48,$EH$5:$EL$9,4,0))),
EJ48))</f>
        <v>0</v>
      </c>
    </row>
    <row r="49" spans="2:142" ht="10.8" thickBot="1" x14ac:dyDescent="0.25">
      <c r="B49" s="29"/>
      <c r="C49" s="515" t="s">
        <v>1414</v>
      </c>
      <c r="D49" s="518" t="s">
        <v>195</v>
      </c>
      <c r="E49" s="28"/>
      <c r="F49" s="20"/>
      <c r="G49" s="20"/>
      <c r="H49" s="20"/>
      <c r="I49" s="20"/>
      <c r="J49" s="20"/>
      <c r="K49" s="20"/>
      <c r="L49" s="45"/>
      <c r="M49" s="44"/>
      <c r="N49" s="85"/>
      <c r="O49" s="403"/>
      <c r="P49" s="20"/>
      <c r="Q49" s="45" t="s">
        <v>405</v>
      </c>
      <c r="R49" s="89" t="s">
        <v>468</v>
      </c>
      <c r="S49" s="85" t="s">
        <v>469</v>
      </c>
      <c r="T49" s="20"/>
      <c r="U49" s="146" t="s">
        <v>1095</v>
      </c>
      <c r="V49" s="143" t="s">
        <v>83</v>
      </c>
      <c r="W49" s="151" t="s">
        <v>778</v>
      </c>
      <c r="X49" s="20"/>
      <c r="AB49" s="20"/>
      <c r="AF49" s="20"/>
      <c r="AJ49" s="20"/>
      <c r="AK49" s="554"/>
      <c r="AL49" s="537"/>
      <c r="AM49" s="555"/>
      <c r="AN49" s="20"/>
      <c r="AO49" s="552"/>
      <c r="AP49" s="455"/>
      <c r="AQ49" s="553"/>
      <c r="AS49" s="20"/>
      <c r="AU49" s="128" t="s">
        <v>478</v>
      </c>
      <c r="AV49" s="140" t="s">
        <v>161</v>
      </c>
      <c r="AW49" s="130" t="str">
        <f t="shared" si="29"/>
        <v>ДП BERGAMO.4</v>
      </c>
      <c r="AY49" s="220" t="s">
        <v>388</v>
      </c>
      <c r="AZ49" s="129" t="s">
        <v>302</v>
      </c>
      <c r="BA49" s="130" t="str">
        <f t="shared" si="1"/>
        <v>ДП MILANO.7.фальц</v>
      </c>
      <c r="BG49" s="406"/>
      <c r="BH49" s="407"/>
      <c r="BI49" s="408"/>
      <c r="BK49" s="125" t="s">
        <v>1709</v>
      </c>
      <c r="BL49" s="126" t="s">
        <v>1422</v>
      </c>
      <c r="BM49" s="127" t="str">
        <f t="shared" si="44"/>
        <v>Лиштва пряма 80мм.ECO-Resist</v>
      </c>
      <c r="BS49" s="36" t="s">
        <v>405</v>
      </c>
      <c r="BT49" s="44" t="s">
        <v>471</v>
      </c>
      <c r="BU49" s="66" t="str">
        <f t="shared" si="4"/>
        <v>ДП LIANO.4A.Стандарт</v>
      </c>
      <c r="BW49" s="56" t="s">
        <v>392</v>
      </c>
      <c r="BX49" s="57" t="s">
        <v>1546</v>
      </c>
      <c r="BY49" s="66" t="str">
        <f t="shared" si="31"/>
        <v>ДП MILANO.2A.Лакобель</v>
      </c>
      <c r="CA49" s="220" t="s">
        <v>1033</v>
      </c>
      <c r="CB49" s="129" t="s">
        <v>929</v>
      </c>
      <c r="CC49" s="130" t="str">
        <f t="shared" ref="CC49:CC59" si="46">CONCATENATE(CA49,".",CB49)</f>
        <v>ДП MILANO.фальц.робоча.(ні)</v>
      </c>
      <c r="CE49" s="220" t="s">
        <v>1036</v>
      </c>
      <c r="CF49" s="129" t="s">
        <v>953</v>
      </c>
      <c r="CG49" s="130" t="str">
        <f t="shared" si="45"/>
        <v>ДП LIANO.фальц.робоча.ВВ</v>
      </c>
      <c r="CM49" s="40" t="s">
        <v>1042</v>
      </c>
      <c r="CN49" s="58" t="s">
        <v>367</v>
      </c>
      <c r="CO49" s="131" t="str">
        <f>CONCATENATE(CM49,".",CN49)</f>
        <v>ДП GRANDE.фальц.робоча.КД ECO-FIT</v>
      </c>
      <c r="CY49" s="139" t="s">
        <v>1590</v>
      </c>
      <c r="CZ49" s="58"/>
      <c r="DA49" s="131" t="s">
        <v>921</v>
      </c>
      <c r="DD49" s="157" t="s">
        <v>506</v>
      </c>
      <c r="DE49" s="158">
        <v>5270</v>
      </c>
      <c r="DF49" s="490">
        <f t="shared" si="38"/>
        <v>5270</v>
      </c>
      <c r="DG49" s="491" t="s">
        <v>1892</v>
      </c>
      <c r="DH49" s="492">
        <f t="shared" ca="1" si="39"/>
        <v>5270</v>
      </c>
      <c r="DP49" s="56" t="s">
        <v>1558</v>
      </c>
      <c r="DQ49" s="97">
        <v>520</v>
      </c>
      <c r="DR49" s="503">
        <f>ROUND(((DQ49-(DQ49/6))/$DD$3)*$DE$3,2)</f>
        <v>520</v>
      </c>
      <c r="DS49" s="487"/>
      <c r="DT49" s="486">
        <f>IF(DS49="",DR49,
IF(AND($DQ$10&gt;=VLOOKUP(DS49,$DP$5:$DT$9,2,0),$DQ$10&lt;=VLOOKUP(DS49,$DP$5:$DT$9,3,0)),
(DR49*(1-VLOOKUP(DS49,$DP$5:$DT$9,4,0))),
DR49))</f>
        <v>520</v>
      </c>
      <c r="DU49" s="158"/>
      <c r="DV49" s="157" t="s">
        <v>1355</v>
      </c>
      <c r="DW49" s="158">
        <v>0</v>
      </c>
      <c r="DX49" s="490">
        <f>ROUND(((DW49-(DW49/6))/$DD$3)*$DE$3,2)</f>
        <v>0</v>
      </c>
      <c r="DY49" s="491"/>
      <c r="DZ49" s="492">
        <f>IF(DY49="",DX49,
IF(AND($DW$10&gt;=VLOOKUP(DY49,$DV$5:$DZ$9,2,0),$DW$10&lt;=VLOOKUP(DY49,$DV$5:$DZ$9,3,0)),
(DX49*(1-VLOOKUP(DY49,$DV$5:$DZ$9,4,0))),
DX49))</f>
        <v>0</v>
      </c>
      <c r="EB49" s="44"/>
      <c r="EC49" s="44"/>
      <c r="ED49" s="112"/>
      <c r="EE49" s="44"/>
      <c r="EF49" s="44"/>
      <c r="EG49" s="157"/>
      <c r="EH49" s="154" t="s">
        <v>1531</v>
      </c>
      <c r="EI49" s="155">
        <v>0</v>
      </c>
      <c r="EJ49" s="504">
        <f>ROUND(((EI49-(EI49/6))/$DD$3)*$DE$3,2)</f>
        <v>0</v>
      </c>
      <c r="EK49" s="496"/>
      <c r="EL49" s="497">
        <f>IF(EK49="",EJ49,
IF(AND($EI$10&gt;=VLOOKUP(EK49,$EH$5:$EL$9,2,0),$EI$10&lt;=VLOOKUP(EK49,$EH$5:$EL$9,3,0)),
(EJ49*(1-VLOOKUP(EK49,$EH$5:$EL$9,4,0))),
EJ49))</f>
        <v>0</v>
      </c>
    </row>
    <row r="50" spans="2:142" x14ac:dyDescent="0.2">
      <c r="B50" s="29"/>
      <c r="C50" s="239"/>
      <c r="D50" s="239"/>
      <c r="E50" s="28"/>
      <c r="F50" s="20"/>
      <c r="G50" s="20"/>
      <c r="H50" s="20"/>
      <c r="I50" s="20"/>
      <c r="J50" s="20"/>
      <c r="K50" s="20"/>
      <c r="L50" s="136" t="s">
        <v>395</v>
      </c>
      <c r="M50" s="44" t="s">
        <v>396</v>
      </c>
      <c r="N50" s="85" t="s">
        <v>731</v>
      </c>
      <c r="O50" s="403" t="s">
        <v>195</v>
      </c>
      <c r="P50" s="20"/>
      <c r="Q50" s="45"/>
      <c r="R50" s="89"/>
      <c r="S50" s="85"/>
      <c r="T50" s="20"/>
      <c r="U50" s="146" t="s">
        <v>1096</v>
      </c>
      <c r="V50" s="143" t="s">
        <v>84</v>
      </c>
      <c r="W50" s="151" t="s">
        <v>779</v>
      </c>
      <c r="X50" s="20"/>
      <c r="AB50" s="20"/>
      <c r="AF50" s="20"/>
      <c r="AJ50" s="20"/>
      <c r="AK50" s="543"/>
      <c r="AL50" s="456"/>
      <c r="AM50" s="544"/>
      <c r="AN50" s="20"/>
      <c r="AO50" s="561" t="s">
        <v>1007</v>
      </c>
      <c r="AP50" s="89" t="s">
        <v>65</v>
      </c>
      <c r="AQ50" s="553" t="s">
        <v>828</v>
      </c>
      <c r="AS50" s="20"/>
      <c r="AU50" s="128" t="s">
        <v>478</v>
      </c>
      <c r="AV50" s="140" t="s">
        <v>162</v>
      </c>
      <c r="AW50" s="130" t="str">
        <f t="shared" si="29"/>
        <v>ДП BERGAMO.5</v>
      </c>
      <c r="AY50" s="209" t="s">
        <v>388</v>
      </c>
      <c r="AZ50" s="58" t="s">
        <v>303</v>
      </c>
      <c r="BA50" s="131" t="str">
        <f t="shared" si="1"/>
        <v>ДП MILANO.7.купе</v>
      </c>
      <c r="BG50" s="53" t="s">
        <v>358</v>
      </c>
      <c r="BH50" s="37" t="s">
        <v>929</v>
      </c>
      <c r="BI50" s="131" t="str">
        <f>CONCATENATE(BG50,".",BH50)</f>
        <v>2050 мм.(ні)</v>
      </c>
      <c r="BK50" s="125" t="s">
        <v>877</v>
      </c>
      <c r="BL50" s="126" t="s">
        <v>482</v>
      </c>
      <c r="BM50" s="127" t="str">
        <f t="shared" si="44"/>
        <v>Добірна планка 60мм.ECO-Cell</v>
      </c>
      <c r="BS50" s="412"/>
      <c r="BT50" s="207"/>
      <c r="BU50" s="208"/>
      <c r="BW50" s="56" t="s">
        <v>393</v>
      </c>
      <c r="BX50" s="57" t="s">
        <v>139</v>
      </c>
      <c r="BY50" s="66" t="str">
        <f t="shared" si="31"/>
        <v>ДП MILANO.3A.Сатин</v>
      </c>
      <c r="CA50" s="220" t="s">
        <v>1033</v>
      </c>
      <c r="CB50" s="19" t="s">
        <v>1340</v>
      </c>
      <c r="CC50" s="130" t="str">
        <f t="shared" si="46"/>
        <v>ДП MILANO.фальц.робоча.Stand цл Лів +3завіс</v>
      </c>
      <c r="CE50" s="209" t="s">
        <v>1036</v>
      </c>
      <c r="CF50" s="58" t="s">
        <v>198</v>
      </c>
      <c r="CG50" s="131" t="str">
        <f t="shared" si="45"/>
        <v>ДП LIANO.фальц.робоча.ВП</v>
      </c>
      <c r="CM50" s="40" t="s">
        <v>1042</v>
      </c>
      <c r="CN50" s="239" t="s">
        <v>1585</v>
      </c>
      <c r="CO50" s="131" t="str">
        <f>CONCATENATE(CM50,".",CN50)</f>
        <v>ДП GRANDE.фальц.робоча.КД ECO-FIT Plus</v>
      </c>
      <c r="CY50" s="139"/>
      <c r="CZ50" s="58"/>
      <c r="DA50" s="131"/>
      <c r="DD50" s="157" t="s">
        <v>1437</v>
      </c>
      <c r="DE50" s="158">
        <v>6110</v>
      </c>
      <c r="DF50" s="490">
        <f t="shared" si="38"/>
        <v>6110</v>
      </c>
      <c r="DG50" s="491" t="s">
        <v>1892</v>
      </c>
      <c r="DH50" s="492">
        <f t="shared" ca="1" si="39"/>
        <v>6110</v>
      </c>
      <c r="DP50" s="56" t="s">
        <v>601</v>
      </c>
      <c r="DQ50" s="97">
        <v>0</v>
      </c>
      <c r="DR50" s="503">
        <f t="shared" si="20"/>
        <v>0</v>
      </c>
      <c r="DS50" s="487"/>
      <c r="DT50" s="486">
        <f t="shared" si="21"/>
        <v>0</v>
      </c>
      <c r="DU50" s="158"/>
      <c r="DV50" s="157" t="s">
        <v>1356</v>
      </c>
      <c r="DW50" s="158">
        <v>0</v>
      </c>
      <c r="DX50" s="490">
        <f t="shared" si="42"/>
        <v>0</v>
      </c>
      <c r="DY50" s="491"/>
      <c r="DZ50" s="492">
        <f t="shared" si="43"/>
        <v>0</v>
      </c>
      <c r="EB50" s="44"/>
      <c r="EC50" s="44"/>
      <c r="ED50" s="112"/>
      <c r="EE50" s="44"/>
      <c r="EF50" s="44"/>
      <c r="EG50" s="157"/>
      <c r="EH50" s="100" t="s">
        <v>1076</v>
      </c>
      <c r="EI50" s="156">
        <v>1800</v>
      </c>
      <c r="EJ50" s="498">
        <f t="shared" si="41"/>
        <v>1800</v>
      </c>
      <c r="EK50" s="493"/>
      <c r="EL50" s="494">
        <f>IF(EK50="",EJ50,
IF(AND($EI$10&gt;=VLOOKUP(EK50,$EH$5:$EL$9,2,0),$EI$10&lt;=VLOOKUP(EK50,$EH$5:$EL$9,3,0)),
(EJ50*(1-VLOOKUP(EK50,$EH$5:$EL$9,4,0))),
EJ50))</f>
        <v>1800</v>
      </c>
    </row>
    <row r="51" spans="2:142" ht="10.8" thickBot="1" x14ac:dyDescent="0.25">
      <c r="B51" s="29"/>
      <c r="C51" s="27" t="s">
        <v>158</v>
      </c>
      <c r="D51" s="32" t="s">
        <v>194</v>
      </c>
      <c r="E51" s="28"/>
      <c r="F51" s="20"/>
      <c r="G51" s="20"/>
      <c r="H51" s="20"/>
      <c r="I51" s="20"/>
      <c r="J51" s="20"/>
      <c r="K51" s="20"/>
      <c r="L51" s="45" t="s">
        <v>397</v>
      </c>
      <c r="M51" s="44" t="s">
        <v>396</v>
      </c>
      <c r="N51" s="85" t="s">
        <v>731</v>
      </c>
      <c r="O51" s="403" t="s">
        <v>195</v>
      </c>
      <c r="P51" s="20"/>
      <c r="Q51" s="45" t="s">
        <v>406</v>
      </c>
      <c r="R51" s="89" t="s">
        <v>54</v>
      </c>
      <c r="S51" s="85" t="s">
        <v>277</v>
      </c>
      <c r="T51" s="20"/>
      <c r="U51" s="146" t="s">
        <v>1097</v>
      </c>
      <c r="V51" s="143" t="s">
        <v>85</v>
      </c>
      <c r="W51" s="151" t="s">
        <v>780</v>
      </c>
      <c r="X51" s="20"/>
      <c r="AB51" s="20"/>
      <c r="AF51" s="20"/>
      <c r="AJ51" s="20"/>
      <c r="AK51" s="548" t="s">
        <v>1158</v>
      </c>
      <c r="AL51" s="93">
        <v>30</v>
      </c>
      <c r="AM51" s="544" t="s">
        <v>1010</v>
      </c>
      <c r="AN51" s="20"/>
      <c r="AO51" s="552"/>
      <c r="AP51" s="455"/>
      <c r="AQ51" s="553"/>
      <c r="AS51" s="20"/>
      <c r="AU51" s="128" t="s">
        <v>478</v>
      </c>
      <c r="AV51" s="140" t="s">
        <v>163</v>
      </c>
      <c r="AW51" s="130" t="str">
        <f t="shared" si="29"/>
        <v>ДП BERGAMO.6</v>
      </c>
      <c r="AY51" s="220" t="s">
        <v>389</v>
      </c>
      <c r="AZ51" s="129" t="s">
        <v>302</v>
      </c>
      <c r="BA51" s="130" t="str">
        <f t="shared" si="1"/>
        <v>ДП MILANO.8.фальц</v>
      </c>
      <c r="BG51" s="53"/>
      <c r="BH51" s="37"/>
      <c r="BI51" s="131"/>
      <c r="BK51" s="125" t="s">
        <v>877</v>
      </c>
      <c r="BL51" s="126" t="s">
        <v>1422</v>
      </c>
      <c r="BM51" s="127" t="str">
        <f t="shared" si="44"/>
        <v>Добірна планка 60мм.ECO-Resist</v>
      </c>
      <c r="BS51" s="36" t="s">
        <v>406</v>
      </c>
      <c r="BT51" s="44" t="s">
        <v>471</v>
      </c>
      <c r="BU51" s="66" t="str">
        <f t="shared" si="4"/>
        <v>ДП BERGAMO.1.Стандарт</v>
      </c>
      <c r="BW51" s="56" t="s">
        <v>393</v>
      </c>
      <c r="BX51" s="57" t="s">
        <v>1546</v>
      </c>
      <c r="BY51" s="66" t="str">
        <f t="shared" si="31"/>
        <v>ДП MILANO.3A.Лакобель</v>
      </c>
      <c r="CA51" s="220" t="s">
        <v>1033</v>
      </c>
      <c r="CB51" s="19" t="s">
        <v>1341</v>
      </c>
      <c r="CC51" s="130" t="str">
        <f t="shared" si="46"/>
        <v>ДП MILANO.фальц.робоча.Stand цл Пр +3завіс</v>
      </c>
      <c r="CE51" s="217" t="s">
        <v>1037</v>
      </c>
      <c r="CF51" s="129"/>
      <c r="CG51" s="130" t="str">
        <f t="shared" si="45"/>
        <v>ДП LIANO.фальц.неробоча.</v>
      </c>
      <c r="CM51" s="40" t="s">
        <v>1043</v>
      </c>
      <c r="CN51" s="58" t="s">
        <v>929</v>
      </c>
      <c r="CO51" s="66" t="str">
        <f>CONCATENATE(CM51,".",CN51)</f>
        <v>ДП GRANDE.фальц.неробоча.(ні)</v>
      </c>
      <c r="CY51" s="139"/>
      <c r="CZ51" s="58"/>
      <c r="DA51" s="131"/>
      <c r="DD51" s="157" t="s">
        <v>507</v>
      </c>
      <c r="DE51" s="158">
        <v>5270</v>
      </c>
      <c r="DF51" s="490">
        <f t="shared" si="38"/>
        <v>5270</v>
      </c>
      <c r="DG51" s="491" t="s">
        <v>1892</v>
      </c>
      <c r="DH51" s="492">
        <f t="shared" ca="1" si="39"/>
        <v>5270</v>
      </c>
      <c r="DP51" s="56" t="s">
        <v>1559</v>
      </c>
      <c r="DQ51" s="97">
        <v>520</v>
      </c>
      <c r="DR51" s="503">
        <f>ROUND(((DQ51-(DQ51/6))/$DD$3)*$DE$3,2)</f>
        <v>520</v>
      </c>
      <c r="DS51" s="487"/>
      <c r="DT51" s="486">
        <f>IF(DS51="",DR51,
IF(AND($DQ$10&gt;=VLOOKUP(DS51,$DP$5:$DT$9,2,0),$DQ$10&lt;=VLOOKUP(DS51,$DP$5:$DT$9,3,0)),
(DR51*(1-VLOOKUP(DS51,$DP$5:$DT$9,4,0))),
DR51))</f>
        <v>520</v>
      </c>
      <c r="DU51" s="158"/>
      <c r="DV51" s="157" t="s">
        <v>1357</v>
      </c>
      <c r="DW51" s="158">
        <v>0</v>
      </c>
      <c r="DX51" s="490">
        <f>ROUND(((DW51-(DW51/6))/$DD$3)*$DE$3,2)</f>
        <v>0</v>
      </c>
      <c r="DY51" s="491"/>
      <c r="DZ51" s="492">
        <f>IF(DY51="",DX51,
IF(AND($DW$10&gt;=VLOOKUP(DY51,$DV$5:$DZ$9,2,0),$DW$10&lt;=VLOOKUP(DY51,$DV$5:$DZ$9,3,0)),
(DX51*(1-VLOOKUP(DY51,$DV$5:$DZ$9,4,0))),
DX51))</f>
        <v>0</v>
      </c>
      <c r="EB51" s="44"/>
      <c r="EC51" s="44"/>
      <c r="ED51" s="112"/>
      <c r="EE51" s="44"/>
      <c r="EF51" s="44"/>
      <c r="EG51" s="157"/>
      <c r="EH51" s="100" t="s">
        <v>1532</v>
      </c>
      <c r="EI51" s="156">
        <v>2140</v>
      </c>
      <c r="EJ51" s="498">
        <f>ROUND(((EI51-(EI51/6))/$DD$3)*$DE$3,2)</f>
        <v>2140</v>
      </c>
      <c r="EK51" s="493"/>
      <c r="EL51" s="494">
        <f>IF(EK51="",EJ51,
IF(AND($EI$10&gt;=VLOOKUP(EK51,$EH$5:$EL$9,2,0),$EI$10&lt;=VLOOKUP(EK51,$EH$5:$EL$9,3,0)),
(EJ51*(1-VLOOKUP(EK51,$EH$5:$EL$9,4,0))),
EJ51))</f>
        <v>2140</v>
      </c>
    </row>
    <row r="52" spans="2:142" x14ac:dyDescent="0.2">
      <c r="B52" s="29"/>
      <c r="C52" s="391" t="s">
        <v>891</v>
      </c>
      <c r="D52" s="394" t="s">
        <v>196</v>
      </c>
      <c r="E52" s="28"/>
      <c r="F52" s="20"/>
      <c r="G52" s="20"/>
      <c r="H52" s="20"/>
      <c r="I52" s="20"/>
      <c r="J52" s="20"/>
      <c r="K52" s="20"/>
      <c r="L52" s="45" t="s">
        <v>398</v>
      </c>
      <c r="M52" s="44" t="s">
        <v>396</v>
      </c>
      <c r="N52" s="85" t="s">
        <v>731</v>
      </c>
      <c r="O52" s="403" t="s">
        <v>195</v>
      </c>
      <c r="P52" s="20"/>
      <c r="Q52" s="45" t="s">
        <v>408</v>
      </c>
      <c r="R52" s="89" t="s">
        <v>55</v>
      </c>
      <c r="S52" s="85" t="s">
        <v>278</v>
      </c>
      <c r="T52" s="20"/>
      <c r="U52" s="146" t="s">
        <v>1099</v>
      </c>
      <c r="V52" s="143" t="s">
        <v>26</v>
      </c>
      <c r="W52" s="151" t="s">
        <v>973</v>
      </c>
      <c r="X52" s="20"/>
      <c r="AB52" s="20"/>
      <c r="AF52" s="20"/>
      <c r="AJ52" s="20"/>
      <c r="AK52" s="552"/>
      <c r="AL52" s="455"/>
      <c r="AM52" s="553"/>
      <c r="AN52" s="20"/>
      <c r="AO52" s="543"/>
      <c r="AP52" s="456"/>
      <c r="AQ52" s="544"/>
      <c r="AS52" s="20"/>
      <c r="AU52" s="128" t="s">
        <v>478</v>
      </c>
      <c r="AV52" s="140" t="s">
        <v>462</v>
      </c>
      <c r="AW52" s="130" t="str">
        <f t="shared" si="29"/>
        <v>ДП BERGAMO.1A</v>
      </c>
      <c r="AY52" s="209" t="s">
        <v>389</v>
      </c>
      <c r="AZ52" s="58" t="s">
        <v>303</v>
      </c>
      <c r="BA52" s="131" t="str">
        <f t="shared" si="1"/>
        <v>ДП MILANO.8.купе</v>
      </c>
      <c r="BG52" s="45"/>
      <c r="BH52" s="37"/>
      <c r="BI52" s="66"/>
      <c r="BK52" s="125" t="s">
        <v>878</v>
      </c>
      <c r="BL52" s="126" t="s">
        <v>482</v>
      </c>
      <c r="BM52" s="127" t="str">
        <f t="shared" si="44"/>
        <v>Добірна планка 110мм.ECO-Cell</v>
      </c>
      <c r="BS52" s="36" t="s">
        <v>408</v>
      </c>
      <c r="BT52" s="44" t="s">
        <v>471</v>
      </c>
      <c r="BU52" s="66" t="str">
        <f t="shared" si="4"/>
        <v>ДП BERGAMO.2.Стандарт</v>
      </c>
      <c r="BW52" s="56" t="s">
        <v>394</v>
      </c>
      <c r="BX52" s="57" t="s">
        <v>139</v>
      </c>
      <c r="BY52" s="66" t="str">
        <f t="shared" si="31"/>
        <v>ДП MILANO.4A.Сатин</v>
      </c>
      <c r="CA52" s="220" t="s">
        <v>1033</v>
      </c>
      <c r="CC52" s="130"/>
      <c r="CE52" s="220" t="s">
        <v>1037</v>
      </c>
      <c r="CF52" s="129" t="s">
        <v>953</v>
      </c>
      <c r="CG52" s="130" t="str">
        <f t="shared" si="45"/>
        <v>ДП LIANO.фальц.неробоча.ВВ</v>
      </c>
      <c r="CM52" s="36" t="s">
        <v>1044</v>
      </c>
      <c r="CN52" s="52" t="s">
        <v>367</v>
      </c>
      <c r="CO52" s="66" t="str">
        <f>CONCATENATE(CM52,".",CN52)</f>
        <v>ДП GRANDE.купе.робоча.КД ECO-FIT</v>
      </c>
      <c r="CY52" s="213"/>
      <c r="CZ52" s="207"/>
      <c r="DA52" s="208"/>
      <c r="DD52" s="157" t="s">
        <v>1438</v>
      </c>
      <c r="DE52" s="158">
        <v>6110</v>
      </c>
      <c r="DF52" s="490">
        <f t="shared" si="38"/>
        <v>6110</v>
      </c>
      <c r="DG52" s="491" t="s">
        <v>1892</v>
      </c>
      <c r="DH52" s="492">
        <f t="shared" ca="1" si="39"/>
        <v>6110</v>
      </c>
      <c r="DP52" s="56" t="s">
        <v>602</v>
      </c>
      <c r="DQ52" s="97">
        <v>0</v>
      </c>
      <c r="DR52" s="503">
        <f t="shared" si="20"/>
        <v>0</v>
      </c>
      <c r="DS52" s="487"/>
      <c r="DT52" s="486">
        <f t="shared" si="21"/>
        <v>0</v>
      </c>
      <c r="DU52" s="158"/>
      <c r="DV52" s="56" t="s">
        <v>1157</v>
      </c>
      <c r="DW52" s="97">
        <v>0</v>
      </c>
      <c r="DX52" s="607">
        <f t="shared" si="42"/>
        <v>0</v>
      </c>
      <c r="DY52" s="487"/>
      <c r="DZ52" s="486">
        <f t="shared" si="43"/>
        <v>0</v>
      </c>
      <c r="EB52" s="521"/>
      <c r="EC52" s="521"/>
      <c r="ED52" s="603"/>
      <c r="EE52" s="521"/>
      <c r="EF52" s="521"/>
      <c r="EG52" s="157"/>
      <c r="EH52" s="505"/>
      <c r="EI52" s="506"/>
      <c r="EJ52" s="609"/>
      <c r="EK52" s="610"/>
      <c r="EL52" s="611"/>
    </row>
    <row r="53" spans="2:142" x14ac:dyDescent="0.2">
      <c r="B53" s="29"/>
      <c r="C53" s="413"/>
      <c r="D53" s="414"/>
      <c r="E53" s="28"/>
      <c r="F53" s="20"/>
      <c r="G53" s="20"/>
      <c r="H53" s="20"/>
      <c r="I53" s="20"/>
      <c r="J53" s="20"/>
      <c r="K53" s="20"/>
      <c r="L53" s="45" t="s">
        <v>399</v>
      </c>
      <c r="M53" s="44" t="s">
        <v>396</v>
      </c>
      <c r="N53" s="85" t="s">
        <v>731</v>
      </c>
      <c r="O53" s="403" t="s">
        <v>195</v>
      </c>
      <c r="P53" s="20"/>
      <c r="Q53" s="45" t="s">
        <v>409</v>
      </c>
      <c r="R53" s="89" t="s">
        <v>56</v>
      </c>
      <c r="S53" s="85" t="s">
        <v>279</v>
      </c>
      <c r="T53" s="20"/>
      <c r="U53" s="146" t="s">
        <v>1100</v>
      </c>
      <c r="V53" s="143" t="s">
        <v>27</v>
      </c>
      <c r="W53" s="151" t="s">
        <v>974</v>
      </c>
      <c r="X53" s="20"/>
      <c r="AB53" s="20"/>
      <c r="AF53" s="20"/>
      <c r="AJ53" s="20"/>
      <c r="AK53" s="548" t="s">
        <v>1159</v>
      </c>
      <c r="AL53" s="93" t="s">
        <v>331</v>
      </c>
      <c r="AM53" s="544" t="s">
        <v>1011</v>
      </c>
      <c r="AN53" s="20"/>
      <c r="AO53" s="554"/>
      <c r="AP53" s="537"/>
      <c r="AQ53" s="555"/>
      <c r="AS53" s="20"/>
      <c r="AU53" s="128" t="s">
        <v>478</v>
      </c>
      <c r="AV53" s="140" t="s">
        <v>464</v>
      </c>
      <c r="AW53" s="130" t="str">
        <f t="shared" si="29"/>
        <v>ДП BERGAMO.2A</v>
      </c>
      <c r="AY53" s="220" t="s">
        <v>390</v>
      </c>
      <c r="AZ53" s="129" t="s">
        <v>302</v>
      </c>
      <c r="BA53" s="130" t="str">
        <f t="shared" si="1"/>
        <v>ДП MILANO.9.фальц</v>
      </c>
      <c r="BG53" s="528"/>
      <c r="BH53" s="526"/>
      <c r="BI53" s="527"/>
      <c r="BK53" s="125" t="s">
        <v>878</v>
      </c>
      <c r="BL53" s="126" t="s">
        <v>1422</v>
      </c>
      <c r="BM53" s="127" t="str">
        <f t="shared" si="44"/>
        <v>Добірна планка 110мм.ECO-Resist</v>
      </c>
      <c r="BS53" s="36" t="s">
        <v>409</v>
      </c>
      <c r="BT53" s="44" t="s">
        <v>471</v>
      </c>
      <c r="BU53" s="66" t="str">
        <f t="shared" si="4"/>
        <v>ДП BERGAMO.3.Стандарт</v>
      </c>
      <c r="BW53" s="56" t="s">
        <v>394</v>
      </c>
      <c r="BX53" s="57" t="s">
        <v>1546</v>
      </c>
      <c r="BY53" s="66" t="str">
        <f t="shared" si="31"/>
        <v>ДП MILANO.4A.Лакобель</v>
      </c>
      <c r="CA53" s="220" t="s">
        <v>1033</v>
      </c>
      <c r="CB53" s="19" t="s">
        <v>1344</v>
      </c>
      <c r="CC53" s="130" t="str">
        <f t="shared" si="46"/>
        <v>ДП MILANO.фальц.робоча.Stand ст Лів +3завіс</v>
      </c>
      <c r="CE53" s="209" t="s">
        <v>1037</v>
      </c>
      <c r="CF53" s="58" t="s">
        <v>198</v>
      </c>
      <c r="CG53" s="131" t="str">
        <f t="shared" si="45"/>
        <v>ДП LIANO.фальц.неробоча.ВП</v>
      </c>
      <c r="CM53" s="412"/>
      <c r="CN53" s="407"/>
      <c r="CO53" s="408"/>
      <c r="CY53" s="137" t="s">
        <v>482</v>
      </c>
      <c r="CZ53" s="126" t="s">
        <v>482</v>
      </c>
      <c r="DA53" s="224" t="s">
        <v>268</v>
      </c>
      <c r="DD53" s="157" t="s">
        <v>508</v>
      </c>
      <c r="DE53" s="158">
        <v>5270</v>
      </c>
      <c r="DF53" s="490">
        <f t="shared" si="38"/>
        <v>5270</v>
      </c>
      <c r="DG53" s="491" t="s">
        <v>1892</v>
      </c>
      <c r="DH53" s="492">
        <f t="shared" ca="1" si="39"/>
        <v>5270</v>
      </c>
      <c r="DP53" s="56" t="s">
        <v>1560</v>
      </c>
      <c r="DQ53" s="97">
        <v>520</v>
      </c>
      <c r="DR53" s="503">
        <f>ROUND(((DQ53-(DQ53/6))/$DD$3)*$DE$3,2)</f>
        <v>520</v>
      </c>
      <c r="DS53" s="487"/>
      <c r="DT53" s="486">
        <f>IF(DS53="",DR53,
IF(AND($DQ$10&gt;=VLOOKUP(DS53,$DP$5:$DT$9,2,0),$DQ$10&lt;=VLOOKUP(DS53,$DP$5:$DT$9,3,0)),
(DR53*(1-VLOOKUP(DS53,$DP$5:$DT$9,4,0))),
DR53))</f>
        <v>520</v>
      </c>
      <c r="DU53" s="158"/>
      <c r="DV53" s="157" t="s">
        <v>641</v>
      </c>
      <c r="DW53" s="158">
        <v>0</v>
      </c>
      <c r="DX53" s="490">
        <f t="shared" si="42"/>
        <v>0</v>
      </c>
      <c r="DY53" s="491"/>
      <c r="DZ53" s="492">
        <f t="shared" si="43"/>
        <v>0</v>
      </c>
      <c r="EG53" s="157"/>
      <c r="EH53" s="154" t="s">
        <v>1079</v>
      </c>
      <c r="EI53" s="155">
        <v>0</v>
      </c>
      <c r="EJ53" s="504">
        <f t="shared" si="41"/>
        <v>0</v>
      </c>
      <c r="EK53" s="496"/>
      <c r="EL53" s="497">
        <f>IF(EK53="",EJ53,
IF(AND($EI$10&gt;=VLOOKUP(EK53,$EH$5:$EL$9,2,0),$EI$10&lt;=VLOOKUP(EK53,$EH$5:$EL$9,3,0)),
(EJ53*(1-VLOOKUP(EK53,$EH$5:$EL$9,4,0))),
EJ53))</f>
        <v>0</v>
      </c>
    </row>
    <row r="54" spans="2:142" x14ac:dyDescent="0.2">
      <c r="B54" s="29"/>
      <c r="C54" s="392" t="s">
        <v>12</v>
      </c>
      <c r="D54" s="395" t="s">
        <v>195</v>
      </c>
      <c r="E54" s="28"/>
      <c r="F54" s="20"/>
      <c r="G54" s="20"/>
      <c r="H54" s="20"/>
      <c r="I54" s="20"/>
      <c r="J54" s="20"/>
      <c r="K54" s="20"/>
      <c r="L54" s="90" t="s">
        <v>400</v>
      </c>
      <c r="M54" s="44" t="s">
        <v>396</v>
      </c>
      <c r="N54" s="85" t="s">
        <v>731</v>
      </c>
      <c r="O54" s="403" t="s">
        <v>195</v>
      </c>
      <c r="P54" s="20"/>
      <c r="Q54" s="45" t="s">
        <v>410</v>
      </c>
      <c r="R54" s="89" t="s">
        <v>57</v>
      </c>
      <c r="S54" s="85" t="s">
        <v>280</v>
      </c>
      <c r="T54" s="20"/>
      <c r="U54" s="146" t="s">
        <v>1101</v>
      </c>
      <c r="V54" s="143" t="s">
        <v>28</v>
      </c>
      <c r="W54" s="151" t="s">
        <v>975</v>
      </c>
      <c r="X54" s="20"/>
      <c r="AB54" s="20"/>
      <c r="AF54" s="20"/>
      <c r="AJ54" s="20"/>
      <c r="AK54" s="552"/>
      <c r="AL54" s="455"/>
      <c r="AM54" s="553"/>
      <c r="AN54" s="20"/>
      <c r="AO54" s="543"/>
      <c r="AP54" s="456"/>
      <c r="AQ54" s="544"/>
      <c r="AS54" s="20"/>
      <c r="AU54" s="128" t="s">
        <v>478</v>
      </c>
      <c r="AV54" s="140" t="s">
        <v>466</v>
      </c>
      <c r="AW54" s="130" t="str">
        <f t="shared" si="29"/>
        <v>ДП BERGAMO.3A</v>
      </c>
      <c r="AY54" s="209" t="s">
        <v>390</v>
      </c>
      <c r="AZ54" s="58" t="s">
        <v>303</v>
      </c>
      <c r="BA54" s="131" t="str">
        <f t="shared" si="1"/>
        <v>ДП MILANO.9.купе</v>
      </c>
      <c r="BK54" s="125" t="s">
        <v>879</v>
      </c>
      <c r="BL54" s="126" t="s">
        <v>482</v>
      </c>
      <c r="BM54" s="127" t="str">
        <f t="shared" si="44"/>
        <v>Добірна планка 200мм.ECO-Cell</v>
      </c>
      <c r="BS54" s="36" t="s">
        <v>410</v>
      </c>
      <c r="BT54" s="44" t="s">
        <v>471</v>
      </c>
      <c r="BU54" s="66" t="str">
        <f t="shared" si="4"/>
        <v>ДП BERGAMO.4.Стандарт</v>
      </c>
      <c r="BW54" s="208"/>
      <c r="BX54" s="208"/>
      <c r="BY54" s="208"/>
      <c r="CA54" s="220" t="s">
        <v>1033</v>
      </c>
      <c r="CB54" s="19" t="s">
        <v>1345</v>
      </c>
      <c r="CC54" s="130" t="str">
        <f t="shared" si="46"/>
        <v>ДП MILANO.фальц.робоча.Stand ст Пр +3завіс</v>
      </c>
      <c r="CE54" s="217" t="s">
        <v>1038</v>
      </c>
      <c r="CF54" s="129"/>
      <c r="CG54" s="130" t="str">
        <f t="shared" si="45"/>
        <v>ДП LIANO.купе.робоча.</v>
      </c>
      <c r="CM54" s="128" t="s">
        <v>1045</v>
      </c>
      <c r="CN54" s="129" t="s">
        <v>366</v>
      </c>
      <c r="CO54" s="130" t="str">
        <f>CONCATENATE(CM54,".",CN54)</f>
        <v>ДП PIANO.фальц.робоча.КД Classic</v>
      </c>
      <c r="CY54" s="137" t="s">
        <v>1884</v>
      </c>
      <c r="CZ54" s="126" t="s">
        <v>482</v>
      </c>
      <c r="DA54" s="224" t="s">
        <v>268</v>
      </c>
      <c r="DD54" s="157" t="s">
        <v>1439</v>
      </c>
      <c r="DE54" s="158">
        <v>6110</v>
      </c>
      <c r="DF54" s="490">
        <f t="shared" si="38"/>
        <v>6110</v>
      </c>
      <c r="DG54" s="491" t="s">
        <v>1892</v>
      </c>
      <c r="DH54" s="492">
        <f t="shared" ca="1" si="39"/>
        <v>6110</v>
      </c>
      <c r="DP54" s="241"/>
      <c r="DQ54" s="242"/>
      <c r="DR54" s="489"/>
      <c r="DS54" s="499"/>
      <c r="DT54" s="244"/>
      <c r="DU54" s="158"/>
      <c r="DV54" s="100" t="s">
        <v>642</v>
      </c>
      <c r="DW54" s="156">
        <v>640</v>
      </c>
      <c r="DX54" s="498">
        <f t="shared" si="42"/>
        <v>640</v>
      </c>
      <c r="DY54" s="493"/>
      <c r="DZ54" s="494">
        <f t="shared" si="43"/>
        <v>640</v>
      </c>
      <c r="EG54" s="157"/>
      <c r="EH54" s="154" t="s">
        <v>1533</v>
      </c>
      <c r="EI54" s="155">
        <v>0</v>
      </c>
      <c r="EJ54" s="504">
        <f>ROUND(((EI54-(EI54/6))/$DD$3)*$DE$3,2)</f>
        <v>0</v>
      </c>
      <c r="EK54" s="496"/>
      <c r="EL54" s="497">
        <f>IF(EK54="",EJ54,
IF(AND($EI$10&gt;=VLOOKUP(EK54,$EH$5:$EL$9,2,0),$EI$10&lt;=VLOOKUP(EK54,$EH$5:$EL$9,3,0)),
(EJ54*(1-VLOOKUP(EK54,$EH$5:$EL$9,4,0))),
EJ54))</f>
        <v>0</v>
      </c>
    </row>
    <row r="55" spans="2:142" ht="10.8" thickBot="1" x14ac:dyDescent="0.25">
      <c r="B55" s="29"/>
      <c r="C55" s="392" t="s">
        <v>894</v>
      </c>
      <c r="D55" s="395" t="s">
        <v>195</v>
      </c>
      <c r="E55" s="28"/>
      <c r="F55" s="20"/>
      <c r="G55" s="20"/>
      <c r="H55" s="20"/>
      <c r="I55" s="20"/>
      <c r="J55" s="20"/>
      <c r="K55" s="20"/>
      <c r="L55" s="90" t="s">
        <v>401</v>
      </c>
      <c r="M55" s="44" t="s">
        <v>396</v>
      </c>
      <c r="N55" s="85" t="s">
        <v>731</v>
      </c>
      <c r="O55" s="403" t="s">
        <v>195</v>
      </c>
      <c r="P55" s="20"/>
      <c r="Q55" s="45" t="s">
        <v>411</v>
      </c>
      <c r="R55" s="89" t="s">
        <v>58</v>
      </c>
      <c r="S55" s="85" t="s">
        <v>281</v>
      </c>
      <c r="T55" s="20"/>
      <c r="U55" s="146" t="s">
        <v>1103</v>
      </c>
      <c r="V55" s="143" t="s">
        <v>29</v>
      </c>
      <c r="W55" s="151" t="s">
        <v>976</v>
      </c>
      <c r="X55" s="20"/>
      <c r="AB55" s="20"/>
      <c r="AF55" s="20"/>
      <c r="AJ55" s="20"/>
      <c r="AK55" s="548" t="s">
        <v>1160</v>
      </c>
      <c r="AL55" s="93" t="s">
        <v>334</v>
      </c>
      <c r="AM55" s="544" t="s">
        <v>1012</v>
      </c>
      <c r="AN55" s="20"/>
      <c r="AO55" s="561" t="s">
        <v>939</v>
      </c>
      <c r="AP55" s="89" t="s">
        <v>65</v>
      </c>
      <c r="AQ55" s="553" t="s">
        <v>828</v>
      </c>
      <c r="AS55" s="20"/>
      <c r="AU55" s="40" t="s">
        <v>478</v>
      </c>
      <c r="AV55" s="141" t="s">
        <v>468</v>
      </c>
      <c r="AW55" s="131" t="str">
        <f t="shared" si="29"/>
        <v>ДП BERGAMO.4A</v>
      </c>
      <c r="AY55" s="220" t="s">
        <v>391</v>
      </c>
      <c r="AZ55" s="129" t="s">
        <v>302</v>
      </c>
      <c r="BA55" s="130" t="str">
        <f t="shared" si="1"/>
        <v>ДП MILANO.1A.фальц</v>
      </c>
      <c r="BK55" s="125" t="s">
        <v>879</v>
      </c>
      <c r="BL55" s="126" t="s">
        <v>1422</v>
      </c>
      <c r="BM55" s="127" t="str">
        <f t="shared" si="44"/>
        <v>Добірна планка 200мм.ECO-Resist</v>
      </c>
      <c r="BS55" s="36" t="s">
        <v>411</v>
      </c>
      <c r="BT55" s="44" t="s">
        <v>471</v>
      </c>
      <c r="BU55" s="66" t="str">
        <f t="shared" si="4"/>
        <v>ДП BERGAMO.5.Стандарт</v>
      </c>
      <c r="BW55" s="56" t="s">
        <v>395</v>
      </c>
      <c r="BX55" s="57" t="s">
        <v>929</v>
      </c>
      <c r="BY55" s="66" t="str">
        <f t="shared" si="17"/>
        <v>ДП LIANO.1.(ні)</v>
      </c>
      <c r="CA55" s="217" t="s">
        <v>1034</v>
      </c>
      <c r="CB55" s="126" t="s">
        <v>929</v>
      </c>
      <c r="CC55" s="127" t="str">
        <f t="shared" si="46"/>
        <v>ДП MILANO.фальц.неробоча.(ні)</v>
      </c>
      <c r="CE55" s="220" t="s">
        <v>1038</v>
      </c>
      <c r="CF55" s="58" t="s">
        <v>953</v>
      </c>
      <c r="CG55" s="131" t="str">
        <f t="shared" si="45"/>
        <v>ДП LIANO.купе.робоча.ВВ</v>
      </c>
      <c r="CM55" s="40" t="s">
        <v>1045</v>
      </c>
      <c r="CN55" s="58" t="s">
        <v>367</v>
      </c>
      <c r="CO55" s="131" t="str">
        <f>CONCATENATE(CM55,".",CN55)</f>
        <v>ДП PIANO.фальц.робоча.КД ECO-FIT</v>
      </c>
      <c r="CW55" s="628" t="s">
        <v>341</v>
      </c>
      <c r="CY55" s="137" t="s">
        <v>1422</v>
      </c>
      <c r="CZ55" s="126" t="s">
        <v>1422</v>
      </c>
      <c r="DA55" s="224" t="s">
        <v>268</v>
      </c>
      <c r="DD55" s="157" t="s">
        <v>509</v>
      </c>
      <c r="DE55" s="158">
        <v>5270</v>
      </c>
      <c r="DF55" s="490">
        <f t="shared" si="38"/>
        <v>5270</v>
      </c>
      <c r="DG55" s="491" t="s">
        <v>1892</v>
      </c>
      <c r="DH55" s="492">
        <f t="shared" ca="1" si="39"/>
        <v>5270</v>
      </c>
      <c r="DP55" s="56" t="s">
        <v>941</v>
      </c>
      <c r="DQ55" s="97">
        <v>0</v>
      </c>
      <c r="DR55" s="503">
        <f t="shared" si="20"/>
        <v>0</v>
      </c>
      <c r="DS55" s="487"/>
      <c r="DT55" s="486">
        <f t="shared" si="21"/>
        <v>0</v>
      </c>
      <c r="DU55" s="158"/>
      <c r="DV55" s="600"/>
      <c r="DW55" s="601"/>
      <c r="DX55" s="604"/>
      <c r="DY55" s="605"/>
      <c r="DZ55" s="606"/>
      <c r="EG55" s="157"/>
      <c r="EH55" s="100" t="s">
        <v>1081</v>
      </c>
      <c r="EI55" s="156">
        <v>1880</v>
      </c>
      <c r="EJ55" s="498">
        <f t="shared" si="41"/>
        <v>1880</v>
      </c>
      <c r="EK55" s="493"/>
      <c r="EL55" s="494">
        <f>IF(EK55="",EJ55,
IF(AND($EI$10&gt;=VLOOKUP(EK55,$EH$5:$EL$9,2,0),$EI$10&lt;=VLOOKUP(EK55,$EH$5:$EL$9,3,0)),
(EJ55*(1-VLOOKUP(EK55,$EH$5:$EL$9,4,0))),
EJ55))</f>
        <v>1880</v>
      </c>
    </row>
    <row r="56" spans="2:142" x14ac:dyDescent="0.2">
      <c r="B56" s="29"/>
      <c r="C56" s="392" t="s">
        <v>13</v>
      </c>
      <c r="D56" s="395" t="s">
        <v>195</v>
      </c>
      <c r="E56" s="28"/>
      <c r="F56" s="20"/>
      <c r="G56" s="20"/>
      <c r="H56" s="20"/>
      <c r="I56" s="20"/>
      <c r="J56" s="20"/>
      <c r="K56" s="20"/>
      <c r="L56" s="45" t="s">
        <v>402</v>
      </c>
      <c r="M56" s="44" t="s">
        <v>396</v>
      </c>
      <c r="N56" s="85" t="s">
        <v>731</v>
      </c>
      <c r="O56" s="403" t="s">
        <v>195</v>
      </c>
      <c r="P56" s="20"/>
      <c r="Q56" s="45" t="s">
        <v>412</v>
      </c>
      <c r="R56" s="89" t="s">
        <v>59</v>
      </c>
      <c r="S56" s="85" t="s">
        <v>282</v>
      </c>
      <c r="T56" s="20"/>
      <c r="U56" s="146" t="s">
        <v>1105</v>
      </c>
      <c r="V56" s="143" t="s">
        <v>30</v>
      </c>
      <c r="W56" s="151" t="s">
        <v>977</v>
      </c>
      <c r="X56" s="20"/>
      <c r="AB56" s="20"/>
      <c r="AF56" s="20"/>
      <c r="AJ56" s="20"/>
      <c r="AK56" s="552"/>
      <c r="AL56" s="455"/>
      <c r="AM56" s="553"/>
      <c r="AN56" s="20"/>
      <c r="AO56" s="561" t="s">
        <v>940</v>
      </c>
      <c r="AP56" s="89" t="s">
        <v>65</v>
      </c>
      <c r="AQ56" s="553" t="s">
        <v>828</v>
      </c>
      <c r="AU56" s="128" t="s">
        <v>479</v>
      </c>
      <c r="AV56" s="140" t="s">
        <v>164</v>
      </c>
      <c r="AW56" s="130" t="str">
        <f t="shared" si="29"/>
        <v>ДП GRANDE.1</v>
      </c>
      <c r="AY56" s="209" t="s">
        <v>391</v>
      </c>
      <c r="AZ56" s="58" t="s">
        <v>303</v>
      </c>
      <c r="BA56" s="131" t="str">
        <f t="shared" si="1"/>
        <v>ДП MILANO.1A.купе</v>
      </c>
      <c r="BK56" s="125" t="s">
        <v>370</v>
      </c>
      <c r="BL56" s="126" t="s">
        <v>482</v>
      </c>
      <c r="BM56" s="127" t="str">
        <f t="shared" si="44"/>
        <v>Планка ECO-FIT 80мм.ECO-Cell</v>
      </c>
      <c r="BS56" s="36" t="s">
        <v>412</v>
      </c>
      <c r="BT56" s="44" t="s">
        <v>471</v>
      </c>
      <c r="BU56" s="66" t="str">
        <f t="shared" si="4"/>
        <v>ДП BERGAMO.6.Стандарт</v>
      </c>
      <c r="BW56" s="56" t="s">
        <v>397</v>
      </c>
      <c r="BX56" s="57" t="s">
        <v>139</v>
      </c>
      <c r="BY56" s="66" t="str">
        <f t="shared" si="17"/>
        <v>ДП LIANO.2.Сатин</v>
      </c>
      <c r="CA56" s="220" t="s">
        <v>1034</v>
      </c>
      <c r="CB56" s="19" t="s">
        <v>1156</v>
      </c>
      <c r="CC56" s="130" t="str">
        <f t="shared" si="46"/>
        <v>ДП MILANO.фальц.неробоча.Пл Stand +3завіс</v>
      </c>
      <c r="CE56" s="511"/>
      <c r="CF56" s="509"/>
      <c r="CG56" s="510"/>
      <c r="CM56" s="40" t="s">
        <v>1045</v>
      </c>
      <c r="CN56" s="239" t="s">
        <v>1585</v>
      </c>
      <c r="CO56" s="131" t="str">
        <f>CONCATENATE(CM56,".",CN56)</f>
        <v>ДП PIANO.фальц.робоча.КД ECO-FIT Plus</v>
      </c>
      <c r="CW56" s="533"/>
      <c r="CY56" s="668" t="s">
        <v>8</v>
      </c>
      <c r="CZ56" s="669"/>
      <c r="DA56" s="670" t="s">
        <v>308</v>
      </c>
      <c r="DD56" s="157" t="s">
        <v>1440</v>
      </c>
      <c r="DE56" s="158">
        <v>6110</v>
      </c>
      <c r="DF56" s="490">
        <f t="shared" si="38"/>
        <v>6110</v>
      </c>
      <c r="DG56" s="491" t="s">
        <v>1892</v>
      </c>
      <c r="DH56" s="492">
        <f t="shared" ca="1" si="39"/>
        <v>6110</v>
      </c>
      <c r="DP56" s="56" t="s">
        <v>603</v>
      </c>
      <c r="DQ56" s="97">
        <v>0</v>
      </c>
      <c r="DR56" s="503">
        <f t="shared" si="20"/>
        <v>0</v>
      </c>
      <c r="DS56" s="487"/>
      <c r="DT56" s="486">
        <f t="shared" si="21"/>
        <v>0</v>
      </c>
      <c r="DU56" s="158"/>
      <c r="DV56" s="56" t="s">
        <v>937</v>
      </c>
      <c r="DW56" s="97">
        <v>0</v>
      </c>
      <c r="DX56" s="388">
        <f t="shared" ref="DX56:DX65" si="47">ROUND(((DW56-(DW56/6))/$DD$3)*$DE$3,2)</f>
        <v>0</v>
      </c>
      <c r="DY56" s="487"/>
      <c r="DZ56" s="486">
        <f t="shared" ref="DZ56:DZ65" si="48">IF(DY56="",DX56,
IF(AND($DW$10&gt;=VLOOKUP(DY56,$DV$5:$DZ$9,2,0),$DW$10&lt;=VLOOKUP(DY56,$DV$5:$DZ$9,3,0)),
(DX56*(1-VLOOKUP(DY56,$DV$5:$DZ$9,4,0))),
DX56))</f>
        <v>0</v>
      </c>
      <c r="EG56" s="157"/>
      <c r="EH56" s="100" t="s">
        <v>1534</v>
      </c>
      <c r="EI56" s="156">
        <v>2250</v>
      </c>
      <c r="EJ56" s="498">
        <f>ROUND(((EI56-(EI56/6))/$DD$3)*$DE$3,2)</f>
        <v>2250</v>
      </c>
      <c r="EK56" s="493"/>
      <c r="EL56" s="494">
        <f>IF(EK56="",EJ56,
IF(AND($EI$10&gt;=VLOOKUP(EK56,$EH$5:$EL$9,2,0),$EI$10&lt;=VLOOKUP(EK56,$EH$5:$EL$9,3,0)),
(EJ56*(1-VLOOKUP(EK56,$EH$5:$EL$9,4,0))),
EJ56))</f>
        <v>2250</v>
      </c>
    </row>
    <row r="57" spans="2:142" x14ac:dyDescent="0.2">
      <c r="B57" s="29"/>
      <c r="C57" s="392" t="s">
        <v>895</v>
      </c>
      <c r="D57" s="395" t="s">
        <v>195</v>
      </c>
      <c r="E57" s="28"/>
      <c r="F57" s="20"/>
      <c r="G57" s="20"/>
      <c r="H57" s="20"/>
      <c r="I57" s="20"/>
      <c r="J57" s="20"/>
      <c r="K57" s="20"/>
      <c r="L57" s="45" t="s">
        <v>403</v>
      </c>
      <c r="M57" s="44" t="s">
        <v>396</v>
      </c>
      <c r="N57" s="85" t="s">
        <v>731</v>
      </c>
      <c r="O57" s="403" t="s">
        <v>195</v>
      </c>
      <c r="P57" s="20"/>
      <c r="Q57" s="45" t="s">
        <v>413</v>
      </c>
      <c r="R57" s="89" t="s">
        <v>462</v>
      </c>
      <c r="S57" s="85" t="s">
        <v>463</v>
      </c>
      <c r="T57" s="20"/>
      <c r="U57" s="146" t="s">
        <v>1108</v>
      </c>
      <c r="V57" s="143" t="s">
        <v>31</v>
      </c>
      <c r="W57" s="151" t="s">
        <v>978</v>
      </c>
      <c r="X57" s="20"/>
      <c r="AB57" s="20"/>
      <c r="AF57" s="20"/>
      <c r="AJ57" s="20"/>
      <c r="AK57" s="543"/>
      <c r="AL57" s="456"/>
      <c r="AM57" s="544"/>
      <c r="AN57" s="20"/>
      <c r="AO57" s="559"/>
      <c r="AP57" s="560"/>
      <c r="AQ57" s="546"/>
      <c r="AU57" s="220" t="s">
        <v>479</v>
      </c>
      <c r="AV57" s="140" t="s">
        <v>165</v>
      </c>
      <c r="AW57" s="130" t="str">
        <f t="shared" si="29"/>
        <v>ДП GRANDE.2</v>
      </c>
      <c r="AY57" s="220" t="s">
        <v>392</v>
      </c>
      <c r="AZ57" s="129" t="s">
        <v>302</v>
      </c>
      <c r="BA57" s="130" t="str">
        <f t="shared" si="1"/>
        <v>ДП MILANO.2A.фальц</v>
      </c>
      <c r="BK57" s="125" t="s">
        <v>370</v>
      </c>
      <c r="BL57" s="126" t="s">
        <v>1422</v>
      </c>
      <c r="BM57" s="127" t="str">
        <f t="shared" si="44"/>
        <v>Планка ECO-FIT 80мм.ECO-Resist</v>
      </c>
      <c r="BS57" s="36" t="s">
        <v>413</v>
      </c>
      <c r="BT57" s="44" t="s">
        <v>471</v>
      </c>
      <c r="BU57" s="66" t="str">
        <f t="shared" si="4"/>
        <v>ДП BERGAMO.1A.Стандарт</v>
      </c>
      <c r="BW57" s="56" t="s">
        <v>398</v>
      </c>
      <c r="BX57" s="57" t="s">
        <v>139</v>
      </c>
      <c r="BY57" s="66" t="str">
        <f t="shared" si="17"/>
        <v>ДП LIANO.3.Сатин</v>
      </c>
      <c r="CA57" s="217" t="s">
        <v>1035</v>
      </c>
      <c r="CB57" s="126" t="s">
        <v>929</v>
      </c>
      <c r="CC57" s="127" t="str">
        <f t="shared" si="46"/>
        <v>ДП MILANO.купе.робоча.(ні)</v>
      </c>
      <c r="CE57" s="217" t="s">
        <v>1039</v>
      </c>
      <c r="CF57" s="129"/>
      <c r="CG57" s="130" t="str">
        <f t="shared" ref="CG57:CG64" si="49">CONCATENATE(CE57,".",CF57)</f>
        <v>ДП BERGAMO.фальц.робоча.</v>
      </c>
      <c r="CM57" s="40" t="s">
        <v>1046</v>
      </c>
      <c r="CN57" s="58" t="s">
        <v>929</v>
      </c>
      <c r="CO57" s="66" t="str">
        <f>CONCATENATE(CM57,".",CN57)</f>
        <v>ДП PIANO.фальц.неробоча.(ні)</v>
      </c>
      <c r="CW57" s="533"/>
      <c r="CY57" s="671" t="s">
        <v>208</v>
      </c>
      <c r="CZ57" s="672" t="s">
        <v>1055</v>
      </c>
      <c r="DA57" s="673" t="s">
        <v>1069</v>
      </c>
      <c r="DD57" s="157" t="s">
        <v>510</v>
      </c>
      <c r="DE57" s="158">
        <v>5270</v>
      </c>
      <c r="DF57" s="490">
        <f t="shared" si="38"/>
        <v>5270</v>
      </c>
      <c r="DG57" s="491" t="s">
        <v>1892</v>
      </c>
      <c r="DH57" s="492">
        <f t="shared" ca="1" si="39"/>
        <v>5270</v>
      </c>
      <c r="DP57" s="56" t="s">
        <v>604</v>
      </c>
      <c r="DQ57" s="97">
        <v>0</v>
      </c>
      <c r="DR57" s="503">
        <f t="shared" si="20"/>
        <v>0</v>
      </c>
      <c r="DS57" s="487"/>
      <c r="DT57" s="486">
        <f t="shared" si="21"/>
        <v>0</v>
      </c>
      <c r="DU57" s="158"/>
      <c r="DV57" s="154" t="s">
        <v>1358</v>
      </c>
      <c r="DW57" s="155">
        <v>0</v>
      </c>
      <c r="DX57" s="495">
        <f t="shared" si="47"/>
        <v>0</v>
      </c>
      <c r="DY57" s="496"/>
      <c r="DZ57" s="497">
        <f t="shared" si="48"/>
        <v>0</v>
      </c>
      <c r="EG57" s="157"/>
      <c r="EH57" s="505"/>
      <c r="EI57" s="506"/>
      <c r="EJ57" s="609"/>
      <c r="EK57" s="610"/>
      <c r="EL57" s="611"/>
    </row>
    <row r="58" spans="2:142" x14ac:dyDescent="0.2">
      <c r="B58" s="29"/>
      <c r="C58" s="392" t="s">
        <v>720</v>
      </c>
      <c r="D58" s="395" t="s">
        <v>195</v>
      </c>
      <c r="E58" s="28"/>
      <c r="F58" s="20"/>
      <c r="G58" s="20"/>
      <c r="H58" s="20"/>
      <c r="I58" s="20"/>
      <c r="J58" s="20"/>
      <c r="K58" s="20"/>
      <c r="L58" s="136" t="s">
        <v>404</v>
      </c>
      <c r="M58" s="44" t="s">
        <v>396</v>
      </c>
      <c r="N58" s="85" t="s">
        <v>731</v>
      </c>
      <c r="O58" s="403" t="s">
        <v>195</v>
      </c>
      <c r="P58" s="20"/>
      <c r="Q58" s="45" t="s">
        <v>414</v>
      </c>
      <c r="R58" s="89" t="s">
        <v>464</v>
      </c>
      <c r="S58" s="85" t="s">
        <v>465</v>
      </c>
      <c r="T58" s="20"/>
      <c r="U58" s="146" t="s">
        <v>1109</v>
      </c>
      <c r="V58" s="143" t="s">
        <v>32</v>
      </c>
      <c r="W58" s="151" t="s">
        <v>979</v>
      </c>
      <c r="X58" s="20"/>
      <c r="AB58" s="20"/>
      <c r="AF58" s="20"/>
      <c r="AJ58" s="20"/>
      <c r="AK58" s="543"/>
      <c r="AL58" s="456"/>
      <c r="AM58" s="544"/>
      <c r="AN58" s="20"/>
      <c r="AO58" s="545"/>
      <c r="AP58" s="144"/>
      <c r="AQ58" s="546"/>
      <c r="AU58" s="220" t="s">
        <v>479</v>
      </c>
      <c r="AV58" s="140" t="s">
        <v>166</v>
      </c>
      <c r="AW58" s="130" t="str">
        <f t="shared" si="29"/>
        <v>ДП GRANDE.3</v>
      </c>
      <c r="AY58" s="209" t="s">
        <v>392</v>
      </c>
      <c r="AZ58" s="58" t="s">
        <v>303</v>
      </c>
      <c r="BA58" s="131" t="str">
        <f t="shared" si="1"/>
        <v>ДП MILANO.2A.купе</v>
      </c>
      <c r="BK58" s="125" t="s">
        <v>371</v>
      </c>
      <c r="BL58" s="126" t="s">
        <v>482</v>
      </c>
      <c r="BM58" s="127" t="str">
        <f t="shared" si="44"/>
        <v>Планка ECO-FIT 160мм.ECO-Cell</v>
      </c>
      <c r="BS58" s="36" t="s">
        <v>414</v>
      </c>
      <c r="BT58" s="44" t="s">
        <v>471</v>
      </c>
      <c r="BU58" s="66" t="str">
        <f t="shared" si="4"/>
        <v>ДП BERGAMO.2A.Стандарт</v>
      </c>
      <c r="BW58" s="56" t="s">
        <v>399</v>
      </c>
      <c r="BX58" s="57" t="s">
        <v>139</v>
      </c>
      <c r="BY58" s="66" t="str">
        <f t="shared" si="17"/>
        <v>ДП LIANO.4.Сатин</v>
      </c>
      <c r="CA58" s="220" t="s">
        <v>1035</v>
      </c>
      <c r="CB58" s="129" t="s">
        <v>140</v>
      </c>
      <c r="CC58" s="130" t="str">
        <f t="shared" si="46"/>
        <v>ДП MILANO.купе.робоча.Ручка-Захват</v>
      </c>
      <c r="CE58" s="220" t="s">
        <v>1039</v>
      </c>
      <c r="CF58" s="129" t="s">
        <v>953</v>
      </c>
      <c r="CG58" s="130" t="str">
        <f t="shared" si="49"/>
        <v>ДП BERGAMO.фальц.робоча.ВВ</v>
      </c>
      <c r="CM58" s="36" t="s">
        <v>1047</v>
      </c>
      <c r="CN58" s="52" t="s">
        <v>367</v>
      </c>
      <c r="CO58" s="66" t="str">
        <f>CONCATENATE(CM58,".",CN58)</f>
        <v>ДП PIANO.купе.робоча.КД ECO-FIT</v>
      </c>
      <c r="CW58" s="533"/>
      <c r="CY58" s="674" t="s">
        <v>99</v>
      </c>
      <c r="CZ58" s="534" t="s">
        <v>1055</v>
      </c>
      <c r="DA58" s="675" t="s">
        <v>1069</v>
      </c>
      <c r="DD58" s="157" t="s">
        <v>1441</v>
      </c>
      <c r="DE58" s="158">
        <v>6110</v>
      </c>
      <c r="DF58" s="490">
        <f t="shared" si="38"/>
        <v>6110</v>
      </c>
      <c r="DG58" s="491" t="s">
        <v>1892</v>
      </c>
      <c r="DH58" s="492">
        <f t="shared" ca="1" si="39"/>
        <v>6110</v>
      </c>
      <c r="DP58" s="56" t="s">
        <v>605</v>
      </c>
      <c r="DQ58" s="97">
        <v>0</v>
      </c>
      <c r="DR58" s="503">
        <f t="shared" si="20"/>
        <v>0</v>
      </c>
      <c r="DS58" s="487"/>
      <c r="DT58" s="486">
        <f t="shared" si="21"/>
        <v>0</v>
      </c>
      <c r="DU58" s="158"/>
      <c r="DV58" s="154" t="s">
        <v>1359</v>
      </c>
      <c r="DW58" s="158">
        <v>0</v>
      </c>
      <c r="DX58" s="490">
        <f>ROUND(((DW58-(DW58/6))/$DD$3)*$DE$3,2)</f>
        <v>0</v>
      </c>
      <c r="DY58" s="491"/>
      <c r="DZ58" s="492">
        <f>IF(DY58="",DX58,
IF(AND($DW$10&gt;=VLOOKUP(DY58,$DV$5:$DZ$9,2,0),$DW$10&lt;=VLOOKUP(DY58,$DV$5:$DZ$9,3,0)),
(DX58*(1-VLOOKUP(DY58,$DV$5:$DZ$9,4,0))),
DX58))</f>
        <v>0</v>
      </c>
      <c r="EG58" s="157"/>
      <c r="EH58" s="154" t="s">
        <v>1084</v>
      </c>
      <c r="EI58" s="155">
        <v>0</v>
      </c>
      <c r="EJ58" s="504">
        <f>ROUND(((EI58-(EI58/6))/$DD$3)*$DE$3,2)</f>
        <v>0</v>
      </c>
      <c r="EK58" s="496"/>
      <c r="EL58" s="497">
        <f>IF(EK58="",EJ58,
IF(AND($EI$10&gt;=VLOOKUP(EK58,$EH$5:$EL$9,2,0),$EI$10&lt;=VLOOKUP(EK58,$EH$5:$EL$9,3,0)),
(EJ58*(1-VLOOKUP(EK58,$EH$5:$EL$9,4,0))),
EJ58))</f>
        <v>0</v>
      </c>
    </row>
    <row r="59" spans="2:142" x14ac:dyDescent="0.2">
      <c r="B59" s="29"/>
      <c r="C59" s="392" t="s">
        <v>892</v>
      </c>
      <c r="D59" s="395" t="s">
        <v>195</v>
      </c>
      <c r="E59" s="28"/>
      <c r="F59" s="20"/>
      <c r="G59" s="20"/>
      <c r="H59" s="20"/>
      <c r="I59" s="20"/>
      <c r="J59" s="20"/>
      <c r="K59" s="20"/>
      <c r="L59" s="45" t="s">
        <v>405</v>
      </c>
      <c r="M59" s="44" t="s">
        <v>396</v>
      </c>
      <c r="N59" s="85" t="s">
        <v>731</v>
      </c>
      <c r="O59" s="403" t="s">
        <v>195</v>
      </c>
      <c r="P59" s="20"/>
      <c r="Q59" s="45" t="s">
        <v>415</v>
      </c>
      <c r="R59" s="89" t="s">
        <v>466</v>
      </c>
      <c r="S59" s="85" t="s">
        <v>467</v>
      </c>
      <c r="T59" s="20"/>
      <c r="U59" s="146" t="s">
        <v>1111</v>
      </c>
      <c r="V59" s="143" t="s">
        <v>33</v>
      </c>
      <c r="W59" s="151" t="s">
        <v>980</v>
      </c>
      <c r="X59" s="20"/>
      <c r="AB59" s="20"/>
      <c r="AF59" s="20"/>
      <c r="AJ59" s="20"/>
      <c r="AK59" s="541"/>
      <c r="AL59" s="540"/>
      <c r="AM59" s="542"/>
      <c r="AN59" s="20"/>
      <c r="AO59" s="543"/>
      <c r="AP59" s="143"/>
      <c r="AQ59" s="544"/>
      <c r="AU59" s="220" t="s">
        <v>479</v>
      </c>
      <c r="AV59" s="140" t="s">
        <v>161</v>
      </c>
      <c r="AW59" s="130" t="str">
        <f t="shared" si="29"/>
        <v>ДП GRANDE.4</v>
      </c>
      <c r="AY59" s="220" t="s">
        <v>393</v>
      </c>
      <c r="AZ59" s="129" t="s">
        <v>302</v>
      </c>
      <c r="BA59" s="130" t="str">
        <f t="shared" si="1"/>
        <v>ДП MILANO.3A.фальц</v>
      </c>
      <c r="BK59" s="125" t="s">
        <v>371</v>
      </c>
      <c r="BL59" s="126" t="s">
        <v>1422</v>
      </c>
      <c r="BM59" s="127" t="str">
        <f t="shared" si="44"/>
        <v>Планка ECO-FIT 160мм.ECO-Resist</v>
      </c>
      <c r="BS59" s="36" t="s">
        <v>415</v>
      </c>
      <c r="BT59" s="44" t="s">
        <v>471</v>
      </c>
      <c r="BU59" s="66" t="str">
        <f t="shared" si="4"/>
        <v>ДП BERGAMO.3A.Стандарт</v>
      </c>
      <c r="BW59" s="56" t="s">
        <v>400</v>
      </c>
      <c r="BX59" s="57" t="s">
        <v>139</v>
      </c>
      <c r="BY59" s="66" t="str">
        <f t="shared" si="17"/>
        <v>ДП LIANO.5.Сатин</v>
      </c>
      <c r="CA59" s="220" t="s">
        <v>1035</v>
      </c>
      <c r="CB59" s="129" t="s">
        <v>192</v>
      </c>
      <c r="CC59" s="130" t="str">
        <f t="shared" si="46"/>
        <v>ДП MILANO.купе.робоча.Ручка-Замок</v>
      </c>
      <c r="CE59" s="209" t="s">
        <v>1039</v>
      </c>
      <c r="CF59" s="58" t="s">
        <v>198</v>
      </c>
      <c r="CG59" s="131" t="str">
        <f t="shared" si="49"/>
        <v>ДП BERGAMO.фальц.робоча.ВП</v>
      </c>
      <c r="CM59" s="412"/>
      <c r="CN59" s="407"/>
      <c r="CO59" s="408"/>
      <c r="CW59" s="533"/>
      <c r="CY59" s="676" t="s">
        <v>100</v>
      </c>
      <c r="CZ59" s="534" t="s">
        <v>1055</v>
      </c>
      <c r="DA59" s="675" t="s">
        <v>1069</v>
      </c>
      <c r="DD59" s="157" t="s">
        <v>511</v>
      </c>
      <c r="DE59" s="158">
        <v>5270</v>
      </c>
      <c r="DF59" s="490">
        <f t="shared" si="38"/>
        <v>5270</v>
      </c>
      <c r="DG59" s="491" t="s">
        <v>1892</v>
      </c>
      <c r="DH59" s="492">
        <f t="shared" ca="1" si="39"/>
        <v>5270</v>
      </c>
      <c r="DP59" s="56" t="s">
        <v>606</v>
      </c>
      <c r="DQ59" s="97">
        <v>0</v>
      </c>
      <c r="DR59" s="503">
        <f t="shared" si="20"/>
        <v>0</v>
      </c>
      <c r="DS59" s="487"/>
      <c r="DT59" s="486">
        <f t="shared" si="21"/>
        <v>0</v>
      </c>
      <c r="DU59" s="158"/>
      <c r="DV59" s="157" t="s">
        <v>1360</v>
      </c>
      <c r="DW59" s="158">
        <v>0</v>
      </c>
      <c r="DX59" s="490">
        <f t="shared" si="47"/>
        <v>0</v>
      </c>
      <c r="DY59" s="491"/>
      <c r="DZ59" s="492">
        <f t="shared" si="48"/>
        <v>0</v>
      </c>
      <c r="EG59" s="157"/>
      <c r="EH59" s="154" t="s">
        <v>1535</v>
      </c>
      <c r="EI59" s="155">
        <v>0</v>
      </c>
      <c r="EJ59" s="504">
        <f>ROUND(((EI59-(EI59/6))/$DD$3)*$DE$3,2)</f>
        <v>0</v>
      </c>
      <c r="EK59" s="496"/>
      <c r="EL59" s="497">
        <f>IF(EK59="",EJ59,
IF(AND($EI$10&gt;=VLOOKUP(EK59,$EH$5:$EL$9,2,0),$EI$10&lt;=VLOOKUP(EK59,$EH$5:$EL$9,3,0)),
(EJ59*(1-VLOOKUP(EK59,$EH$5:$EL$9,4,0))),
EJ59))</f>
        <v>0</v>
      </c>
    </row>
    <row r="60" spans="2:142" x14ac:dyDescent="0.2">
      <c r="B60" s="29"/>
      <c r="C60" s="392" t="s">
        <v>893</v>
      </c>
      <c r="D60" s="395" t="s">
        <v>195</v>
      </c>
      <c r="E60" s="28"/>
      <c r="L60" s="45"/>
      <c r="M60" s="44"/>
      <c r="N60" s="85"/>
      <c r="O60" s="403"/>
      <c r="P60" s="20"/>
      <c r="Q60" s="45" t="s">
        <v>416</v>
      </c>
      <c r="R60" s="89" t="s">
        <v>468</v>
      </c>
      <c r="S60" s="85" t="s">
        <v>469</v>
      </c>
      <c r="U60" s="147" t="s">
        <v>1113</v>
      </c>
      <c r="V60" s="144" t="s">
        <v>34</v>
      </c>
      <c r="W60" s="152" t="s">
        <v>981</v>
      </c>
      <c r="AO60" s="562"/>
      <c r="AP60" s="563"/>
      <c r="AQ60" s="564"/>
      <c r="AU60" s="220" t="s">
        <v>479</v>
      </c>
      <c r="AV60" s="140" t="s">
        <v>162</v>
      </c>
      <c r="AW60" s="130" t="str">
        <f t="shared" si="29"/>
        <v>ДП GRANDE.5</v>
      </c>
      <c r="AY60" s="209" t="s">
        <v>393</v>
      </c>
      <c r="AZ60" s="58" t="s">
        <v>303</v>
      </c>
      <c r="BA60" s="131" t="str">
        <f t="shared" si="1"/>
        <v>ДП MILANO.3A.купе</v>
      </c>
      <c r="BK60" s="125" t="s">
        <v>372</v>
      </c>
      <c r="BL60" s="126" t="s">
        <v>482</v>
      </c>
      <c r="BM60" s="127" t="str">
        <f t="shared" si="44"/>
        <v>Планка ECO-FIT 200мм.ECO-Cell</v>
      </c>
      <c r="BS60" s="36" t="s">
        <v>416</v>
      </c>
      <c r="BT60" s="44" t="s">
        <v>471</v>
      </c>
      <c r="BU60" s="66" t="str">
        <f t="shared" si="4"/>
        <v>ДП BERGAMO.4A.Стандарт</v>
      </c>
      <c r="BW60" s="56" t="s">
        <v>401</v>
      </c>
      <c r="BX60" s="57" t="s">
        <v>139</v>
      </c>
      <c r="BY60" s="66" t="str">
        <f t="shared" si="17"/>
        <v>ДП LIANO.6.Сатин</v>
      </c>
      <c r="CA60" s="412"/>
      <c r="CB60" s="207"/>
      <c r="CC60" s="208"/>
      <c r="CE60" s="217" t="s">
        <v>1040</v>
      </c>
      <c r="CF60" s="129"/>
      <c r="CG60" s="130" t="str">
        <f t="shared" si="49"/>
        <v>ДП BERGAMO.фальц.неробоча.</v>
      </c>
      <c r="CM60" s="128" t="s">
        <v>1741</v>
      </c>
      <c r="CN60" s="129" t="s">
        <v>366</v>
      </c>
      <c r="CO60" s="130" t="str">
        <f>CONCATENATE(CM60,".",CN60)</f>
        <v>ДП Viva.фальц.робоча.КД Classic</v>
      </c>
      <c r="CY60" s="676" t="s">
        <v>101</v>
      </c>
      <c r="CZ60" s="534" t="s">
        <v>1055</v>
      </c>
      <c r="DA60" s="675" t="s">
        <v>1069</v>
      </c>
      <c r="DD60" s="157" t="s">
        <v>1442</v>
      </c>
      <c r="DE60" s="158">
        <v>6110</v>
      </c>
      <c r="DF60" s="490">
        <f t="shared" si="38"/>
        <v>6110</v>
      </c>
      <c r="DG60" s="491" t="s">
        <v>1892</v>
      </c>
      <c r="DH60" s="492">
        <f t="shared" ca="1" si="39"/>
        <v>6110</v>
      </c>
      <c r="DP60" s="56" t="s">
        <v>607</v>
      </c>
      <c r="DQ60" s="97">
        <v>0</v>
      </c>
      <c r="DR60" s="503">
        <f t="shared" si="20"/>
        <v>0</v>
      </c>
      <c r="DS60" s="487"/>
      <c r="DT60" s="486">
        <f t="shared" si="21"/>
        <v>0</v>
      </c>
      <c r="DU60" s="158"/>
      <c r="DV60" s="157" t="s">
        <v>1361</v>
      </c>
      <c r="DW60" s="158">
        <v>0</v>
      </c>
      <c r="DX60" s="490">
        <f>ROUND(((DW60-(DW60/6))/$DD$3)*$DE$3,2)</f>
        <v>0</v>
      </c>
      <c r="DY60" s="491"/>
      <c r="DZ60" s="492">
        <f>IF(DY60="",DX60,
IF(AND($DW$10&gt;=VLOOKUP(DY60,$DV$5:$DZ$9,2,0),$DW$10&lt;=VLOOKUP(DY60,$DV$5:$DZ$9,3,0)),
(DX60*(1-VLOOKUP(DY60,$DV$5:$DZ$9,4,0))),
DX60))</f>
        <v>0</v>
      </c>
      <c r="EG60" s="157"/>
      <c r="EH60" s="100" t="s">
        <v>1086</v>
      </c>
      <c r="EI60" s="156">
        <v>1970</v>
      </c>
      <c r="EJ60" s="498">
        <f>ROUND(((EI60-(EI60/6))/$DD$3)*$DE$3,2)</f>
        <v>1970</v>
      </c>
      <c r="EK60" s="493"/>
      <c r="EL60" s="494">
        <f>IF(EK60="",EJ60,
IF(AND($EI$10&gt;=VLOOKUP(EK60,$EH$5:$EL$9,2,0),$EI$10&lt;=VLOOKUP(EK60,$EH$5:$EL$9,3,0)),
(EJ60*(1-VLOOKUP(EK60,$EH$5:$EL$9,4,0))),
EJ60))</f>
        <v>1970</v>
      </c>
    </row>
    <row r="61" spans="2:142" x14ac:dyDescent="0.2">
      <c r="B61" s="29"/>
      <c r="C61" s="392" t="s">
        <v>896</v>
      </c>
      <c r="D61" s="395" t="s">
        <v>195</v>
      </c>
      <c r="E61" s="28"/>
      <c r="L61" s="45" t="s">
        <v>406</v>
      </c>
      <c r="M61" s="44" t="s">
        <v>407</v>
      </c>
      <c r="N61" s="85" t="s">
        <v>732</v>
      </c>
      <c r="O61" s="403" t="s">
        <v>195</v>
      </c>
      <c r="Q61" s="45"/>
      <c r="R61" s="89"/>
      <c r="S61" s="85"/>
      <c r="U61" s="145" t="s">
        <v>1114</v>
      </c>
      <c r="V61" s="93" t="s">
        <v>313</v>
      </c>
      <c r="W61" s="92" t="s">
        <v>804</v>
      </c>
      <c r="AO61" s="90"/>
      <c r="AP61" s="89"/>
      <c r="AQ61" s="85"/>
      <c r="AU61" s="220" t="s">
        <v>479</v>
      </c>
      <c r="AV61" s="140" t="s">
        <v>163</v>
      </c>
      <c r="AW61" s="130" t="str">
        <f t="shared" si="29"/>
        <v>ДП GRANDE.6</v>
      </c>
      <c r="AY61" s="220" t="s">
        <v>394</v>
      </c>
      <c r="AZ61" s="129" t="s">
        <v>302</v>
      </c>
      <c r="BA61" s="130" t="str">
        <f t="shared" si="1"/>
        <v>ДП MILANO.4A.фальц</v>
      </c>
      <c r="BK61" s="125" t="s">
        <v>372</v>
      </c>
      <c r="BL61" s="126" t="s">
        <v>1422</v>
      </c>
      <c r="BM61" s="127" t="str">
        <f t="shared" si="44"/>
        <v>Планка ECO-FIT 200мм.ECO-Resist</v>
      </c>
      <c r="BS61" s="412"/>
      <c r="BT61" s="207"/>
      <c r="BU61" s="208"/>
      <c r="BW61" s="56" t="s">
        <v>402</v>
      </c>
      <c r="BX61" s="57" t="s">
        <v>139</v>
      </c>
      <c r="BY61" s="66" t="str">
        <f t="shared" si="17"/>
        <v>ДП LIANO.1A.Сатин</v>
      </c>
      <c r="CA61" s="220" t="s">
        <v>1036</v>
      </c>
      <c r="CB61" s="129" t="s">
        <v>929</v>
      </c>
      <c r="CC61" s="130" t="str">
        <f t="shared" ref="CC61:CC71" si="50">CONCATENATE(CA61,".",CB61)</f>
        <v>ДП LIANO.фальц.робоча.(ні)</v>
      </c>
      <c r="CE61" s="220" t="s">
        <v>1040</v>
      </c>
      <c r="CF61" s="129" t="s">
        <v>953</v>
      </c>
      <c r="CG61" s="130" t="str">
        <f t="shared" si="49"/>
        <v>ДП BERGAMO.фальц.неробоча.ВВ</v>
      </c>
      <c r="CM61" s="40" t="s">
        <v>1741</v>
      </c>
      <c r="CN61" s="58" t="s">
        <v>367</v>
      </c>
      <c r="CO61" s="131" t="str">
        <f>CONCATENATE(CM61,".",CN61)</f>
        <v>ДП Viva.фальц.робоча.КД ECO-FIT</v>
      </c>
      <c r="CW61" s="113"/>
      <c r="CY61" s="676" t="s">
        <v>102</v>
      </c>
      <c r="CZ61" s="534" t="s">
        <v>1055</v>
      </c>
      <c r="DA61" s="675" t="s">
        <v>1069</v>
      </c>
      <c r="DD61" s="157" t="s">
        <v>512</v>
      </c>
      <c r="DE61" s="158">
        <v>5270</v>
      </c>
      <c r="DF61" s="490">
        <f t="shared" si="38"/>
        <v>5270</v>
      </c>
      <c r="DG61" s="491" t="s">
        <v>1892</v>
      </c>
      <c r="DH61" s="492">
        <f t="shared" ca="1" si="39"/>
        <v>5270</v>
      </c>
      <c r="DP61" s="56" t="s">
        <v>608</v>
      </c>
      <c r="DQ61" s="97">
        <v>0</v>
      </c>
      <c r="DR61" s="503">
        <f t="shared" si="20"/>
        <v>0</v>
      </c>
      <c r="DS61" s="487"/>
      <c r="DT61" s="486">
        <f t="shared" si="21"/>
        <v>0</v>
      </c>
      <c r="DU61" s="158"/>
      <c r="DV61" s="157" t="s">
        <v>1362</v>
      </c>
      <c r="DW61" s="158">
        <v>0</v>
      </c>
      <c r="DX61" s="490">
        <f t="shared" si="47"/>
        <v>0</v>
      </c>
      <c r="DY61" s="491"/>
      <c r="DZ61" s="492">
        <f t="shared" si="48"/>
        <v>0</v>
      </c>
      <c r="EG61" s="157"/>
      <c r="EH61" s="100" t="s">
        <v>1536</v>
      </c>
      <c r="EI61" s="156">
        <v>2340</v>
      </c>
      <c r="EJ61" s="498">
        <f>ROUND(((EI61-(EI61/6))/$DD$3)*$DE$3,2)</f>
        <v>2340</v>
      </c>
      <c r="EK61" s="493"/>
      <c r="EL61" s="494">
        <f>IF(EK61="",EJ61,
IF(AND($EI$10&gt;=VLOOKUP(EK61,$EH$5:$EL$9,2,0),$EI$10&lt;=VLOOKUP(EK61,$EH$5:$EL$9,3,0)),
(EJ61*(1-VLOOKUP(EK61,$EH$5:$EL$9,4,0))),
EJ61))</f>
        <v>2340</v>
      </c>
    </row>
    <row r="62" spans="2:142" x14ac:dyDescent="0.2">
      <c r="B62" s="29"/>
      <c r="C62" s="392" t="s">
        <v>129</v>
      </c>
      <c r="D62" s="395" t="s">
        <v>195</v>
      </c>
      <c r="E62" s="28"/>
      <c r="L62" s="45" t="s">
        <v>408</v>
      </c>
      <c r="M62" s="44" t="s">
        <v>407</v>
      </c>
      <c r="N62" s="85" t="s">
        <v>732</v>
      </c>
      <c r="O62" s="403" t="s">
        <v>195</v>
      </c>
      <c r="Q62" s="45" t="s">
        <v>417</v>
      </c>
      <c r="R62" s="89" t="s">
        <v>54</v>
      </c>
      <c r="S62" s="85" t="s">
        <v>277</v>
      </c>
      <c r="U62" s="146" t="s">
        <v>1116</v>
      </c>
      <c r="V62" s="143" t="s">
        <v>314</v>
      </c>
      <c r="W62" s="151" t="s">
        <v>805</v>
      </c>
      <c r="AK62" s="541" t="s">
        <v>339</v>
      </c>
      <c r="AL62" s="540"/>
      <c r="AM62" s="542"/>
      <c r="AO62" s="90"/>
      <c r="AP62" s="89"/>
      <c r="AQ62" s="85"/>
      <c r="AU62" s="220" t="s">
        <v>479</v>
      </c>
      <c r="AV62" s="140" t="s">
        <v>462</v>
      </c>
      <c r="AW62" s="130" t="str">
        <f t="shared" si="29"/>
        <v>ДП GRANDE.1A</v>
      </c>
      <c r="AY62" s="209" t="s">
        <v>394</v>
      </c>
      <c r="AZ62" s="58" t="s">
        <v>303</v>
      </c>
      <c r="BA62" s="131" t="str">
        <f t="shared" si="1"/>
        <v>ДП MILANO.4A.купе</v>
      </c>
      <c r="BK62" s="125" t="s">
        <v>1418</v>
      </c>
      <c r="BL62" s="126" t="s">
        <v>482</v>
      </c>
      <c r="BM62" s="127" t="str">
        <f t="shared" si="44"/>
        <v>Плінтус 60мм (від 8 шт).ECO-Cell</v>
      </c>
      <c r="BS62" s="36" t="s">
        <v>417</v>
      </c>
      <c r="BT62" s="44" t="s">
        <v>471</v>
      </c>
      <c r="BU62" s="66" t="str">
        <f t="shared" si="4"/>
        <v>ДП GRANDE.1.Стандарт</v>
      </c>
      <c r="BW62" s="56" t="s">
        <v>403</v>
      </c>
      <c r="BX62" s="57" t="s">
        <v>139</v>
      </c>
      <c r="BY62" s="66" t="str">
        <f t="shared" si="17"/>
        <v>ДП LIANO.2A.Сатин</v>
      </c>
      <c r="CA62" s="220" t="s">
        <v>1036</v>
      </c>
      <c r="CB62" s="19" t="s">
        <v>1340</v>
      </c>
      <c r="CC62" s="130" t="str">
        <f t="shared" si="50"/>
        <v>ДП LIANO.фальц.робоча.Stand цл Лів +3завіс</v>
      </c>
      <c r="CE62" s="209" t="s">
        <v>1040</v>
      </c>
      <c r="CF62" s="58" t="s">
        <v>198</v>
      </c>
      <c r="CG62" s="131" t="str">
        <f t="shared" si="49"/>
        <v>ДП BERGAMO.фальц.неробоча.ВП</v>
      </c>
      <c r="CM62" s="40" t="s">
        <v>1741</v>
      </c>
      <c r="CN62" s="239" t="s">
        <v>1585</v>
      </c>
      <c r="CO62" s="131" t="str">
        <f>CONCATENATE(CM62,".",CN62)</f>
        <v>ДП Viva.фальц.робоча.КД ECO-FIT Plus</v>
      </c>
      <c r="CW62" s="113"/>
      <c r="CY62" s="677" t="s">
        <v>103</v>
      </c>
      <c r="CZ62" s="678" t="s">
        <v>1055</v>
      </c>
      <c r="DA62" s="679" t="s">
        <v>1072</v>
      </c>
      <c r="DD62" s="157" t="s">
        <v>1443</v>
      </c>
      <c r="DE62" s="158">
        <v>6110</v>
      </c>
      <c r="DF62" s="490">
        <f t="shared" si="38"/>
        <v>6110</v>
      </c>
      <c r="DG62" s="491" t="s">
        <v>1892</v>
      </c>
      <c r="DH62" s="492">
        <f t="shared" ca="1" si="39"/>
        <v>6110</v>
      </c>
      <c r="DP62" s="56" t="s">
        <v>609</v>
      </c>
      <c r="DQ62" s="97">
        <v>0</v>
      </c>
      <c r="DR62" s="503">
        <f t="shared" si="20"/>
        <v>0</v>
      </c>
      <c r="DS62" s="487"/>
      <c r="DT62" s="486">
        <f t="shared" si="21"/>
        <v>0</v>
      </c>
      <c r="DU62" s="158"/>
      <c r="DV62" s="157" t="s">
        <v>1363</v>
      </c>
      <c r="DW62" s="158">
        <v>0</v>
      </c>
      <c r="DX62" s="490">
        <f>ROUND(((DW62-(DW62/6))/$DD$3)*$DE$3,2)</f>
        <v>0</v>
      </c>
      <c r="DY62" s="491"/>
      <c r="DZ62" s="492">
        <f>IF(DY62="",DX62,
IF(AND($DW$10&gt;=VLOOKUP(DY62,$DV$5:$DZ$9,2,0),$DW$10&lt;=VLOOKUP(DY62,$DV$5:$DZ$9,3,0)),
(DX62*(1-VLOOKUP(DY62,$DV$5:$DZ$9,4,0))),
DX62))</f>
        <v>0</v>
      </c>
      <c r="EG62" s="157"/>
      <c r="EH62" s="505"/>
      <c r="EI62" s="506"/>
      <c r="EJ62" s="609"/>
      <c r="EK62" s="610"/>
      <c r="EL62" s="611"/>
    </row>
    <row r="63" spans="2:142" x14ac:dyDescent="0.2">
      <c r="B63" s="29"/>
      <c r="C63" s="392" t="s">
        <v>897</v>
      </c>
      <c r="D63" s="395" t="s">
        <v>195</v>
      </c>
      <c r="E63" s="28"/>
      <c r="L63" s="45" t="s">
        <v>409</v>
      </c>
      <c r="M63" s="44" t="s">
        <v>407</v>
      </c>
      <c r="N63" s="85" t="s">
        <v>732</v>
      </c>
      <c r="O63" s="403" t="s">
        <v>195</v>
      </c>
      <c r="Q63" s="136" t="s">
        <v>419</v>
      </c>
      <c r="R63" s="89" t="s">
        <v>55</v>
      </c>
      <c r="S63" s="85" t="s">
        <v>278</v>
      </c>
      <c r="U63" s="146" t="s">
        <v>1118</v>
      </c>
      <c r="V63" s="143" t="s">
        <v>315</v>
      </c>
      <c r="W63" s="151" t="s">
        <v>806</v>
      </c>
      <c r="AK63" s="543"/>
      <c r="AL63" s="456"/>
      <c r="AM63" s="544"/>
      <c r="AO63" s="90"/>
      <c r="AP63" s="89"/>
      <c r="AQ63" s="85"/>
      <c r="AU63" s="220" t="s">
        <v>479</v>
      </c>
      <c r="AV63" s="140" t="s">
        <v>464</v>
      </c>
      <c r="AW63" s="130" t="str">
        <f t="shared" si="29"/>
        <v>ДП GRANDE.2A</v>
      </c>
      <c r="AY63" s="657"/>
      <c r="AZ63" s="658"/>
      <c r="BA63" s="659"/>
      <c r="BK63" s="125" t="s">
        <v>1418</v>
      </c>
      <c r="BL63" s="126" t="s">
        <v>1422</v>
      </c>
      <c r="BM63" s="127" t="str">
        <f t="shared" si="44"/>
        <v>Плінтус 60мм (від 8 шт).ECO-Resist</v>
      </c>
      <c r="BS63" s="36" t="s">
        <v>419</v>
      </c>
      <c r="BT63" s="44" t="s">
        <v>471</v>
      </c>
      <c r="BU63" s="66" t="str">
        <f t="shared" si="4"/>
        <v>ДП GRANDE.2.Стандарт</v>
      </c>
      <c r="BW63" s="56" t="s">
        <v>404</v>
      </c>
      <c r="BX63" s="57" t="s">
        <v>139</v>
      </c>
      <c r="BY63" s="66" t="str">
        <f t="shared" si="17"/>
        <v>ДП LIANO.3A.Сатин</v>
      </c>
      <c r="CA63" s="220" t="s">
        <v>1036</v>
      </c>
      <c r="CB63" s="19" t="s">
        <v>1341</v>
      </c>
      <c r="CC63" s="130" t="str">
        <f t="shared" si="50"/>
        <v>ДП LIANO.фальц.робоча.Stand цл Пр +3завіс</v>
      </c>
      <c r="CE63" s="217" t="s">
        <v>1041</v>
      </c>
      <c r="CF63" s="129"/>
      <c r="CG63" s="130" t="str">
        <f t="shared" si="49"/>
        <v>ДП BERGAMO.купе.робоча.</v>
      </c>
      <c r="CM63" s="40" t="s">
        <v>1742</v>
      </c>
      <c r="CN63" s="58" t="s">
        <v>929</v>
      </c>
      <c r="CO63" s="66" t="str">
        <f>CONCATENATE(CM63,".",CN63)</f>
        <v>ДП Viva.фальц.неробоча.(ні)</v>
      </c>
      <c r="CW63" s="113"/>
      <c r="CY63" s="680"/>
      <c r="CZ63" s="681"/>
      <c r="DA63" s="682"/>
      <c r="DD63" s="595"/>
      <c r="DE63" s="596"/>
      <c r="DF63" s="597"/>
      <c r="DG63" s="598"/>
      <c r="DH63" s="599"/>
      <c r="DP63" s="56" t="s">
        <v>610</v>
      </c>
      <c r="DQ63" s="97">
        <v>0</v>
      </c>
      <c r="DR63" s="503">
        <f t="shared" si="20"/>
        <v>0</v>
      </c>
      <c r="DS63" s="487"/>
      <c r="DT63" s="486">
        <f t="shared" si="21"/>
        <v>0</v>
      </c>
      <c r="DU63" s="158"/>
      <c r="DV63" s="56" t="s">
        <v>1161</v>
      </c>
      <c r="DW63" s="97">
        <v>0</v>
      </c>
      <c r="DX63" s="607">
        <f t="shared" si="47"/>
        <v>0</v>
      </c>
      <c r="DY63" s="487"/>
      <c r="DZ63" s="486">
        <f t="shared" si="48"/>
        <v>0</v>
      </c>
      <c r="EG63" s="157"/>
      <c r="EH63" s="154" t="s">
        <v>1089</v>
      </c>
      <c r="EI63" s="155">
        <v>0</v>
      </c>
      <c r="EJ63" s="504">
        <f>ROUND(((EI63-(EI63/6))/$DD$3)*$DE$3,2)</f>
        <v>0</v>
      </c>
      <c r="EK63" s="496"/>
      <c r="EL63" s="497">
        <f>IF(EK63="",EJ63,
IF(AND($EI$10&gt;=VLOOKUP(EK63,$EH$5:$EL$9,2,0),$EI$10&lt;=VLOOKUP(EK63,$EH$5:$EL$9,3,0)),
(EJ63*(1-VLOOKUP(EK63,$EH$5:$EL$9,4,0))),
EJ63))</f>
        <v>0</v>
      </c>
    </row>
    <row r="64" spans="2:142" x14ac:dyDescent="0.2">
      <c r="B64" s="29"/>
      <c r="C64" s="392"/>
      <c r="D64" s="395"/>
      <c r="E64" s="28"/>
      <c r="L64" s="45" t="s">
        <v>410</v>
      </c>
      <c r="M64" s="44" t="s">
        <v>407</v>
      </c>
      <c r="N64" s="85" t="s">
        <v>732</v>
      </c>
      <c r="O64" s="403" t="s">
        <v>195</v>
      </c>
      <c r="Q64" s="136" t="s">
        <v>420</v>
      </c>
      <c r="R64" s="651" t="s">
        <v>56</v>
      </c>
      <c r="S64" s="519" t="s">
        <v>279</v>
      </c>
      <c r="U64" s="146" t="s">
        <v>1119</v>
      </c>
      <c r="V64" s="143" t="s">
        <v>316</v>
      </c>
      <c r="W64" s="151" t="s">
        <v>807</v>
      </c>
      <c r="AK64" s="545" t="s">
        <v>929</v>
      </c>
      <c r="AL64" s="144" t="s">
        <v>62</v>
      </c>
      <c r="AM64" s="546" t="s">
        <v>822</v>
      </c>
      <c r="AO64" s="90"/>
      <c r="AP64" s="89"/>
      <c r="AQ64" s="85"/>
      <c r="AU64" s="220" t="s">
        <v>479</v>
      </c>
      <c r="AV64" s="140" t="s">
        <v>466</v>
      </c>
      <c r="AW64" s="130" t="str">
        <f t="shared" si="29"/>
        <v>ДП GRANDE.3A</v>
      </c>
      <c r="AY64" s="220" t="s">
        <v>395</v>
      </c>
      <c r="AZ64" s="129" t="s">
        <v>302</v>
      </c>
      <c r="BA64" s="130" t="str">
        <f t="shared" si="1"/>
        <v>ДП LIANO.1.фальц</v>
      </c>
      <c r="BK64" s="125" t="s">
        <v>1414</v>
      </c>
      <c r="BL64" s="126" t="s">
        <v>482</v>
      </c>
      <c r="BM64" s="127" t="str">
        <f t="shared" si="44"/>
        <v>Плінтус 80мм (від 8 шт).ECO-Cell</v>
      </c>
      <c r="BS64" s="36" t="s">
        <v>420</v>
      </c>
      <c r="BT64" s="44" t="s">
        <v>471</v>
      </c>
      <c r="BU64" s="66" t="str">
        <f t="shared" si="4"/>
        <v>ДП GRANDE.3.Стандарт</v>
      </c>
      <c r="BW64" s="56" t="s">
        <v>405</v>
      </c>
      <c r="BX64" s="57" t="s">
        <v>139</v>
      </c>
      <c r="BY64" s="66" t="str">
        <f t="shared" si="17"/>
        <v>ДП LIANO.4A.Сатин</v>
      </c>
      <c r="CA64" s="220" t="s">
        <v>1036</v>
      </c>
      <c r="CC64" s="130"/>
      <c r="CE64" s="220" t="s">
        <v>1041</v>
      </c>
      <c r="CF64" s="58" t="s">
        <v>953</v>
      </c>
      <c r="CG64" s="131" t="str">
        <f t="shared" si="49"/>
        <v>ДП BERGAMO.купе.робоча.ВВ</v>
      </c>
      <c r="CM64" s="36" t="s">
        <v>1743</v>
      </c>
      <c r="CN64" s="52" t="s">
        <v>367</v>
      </c>
      <c r="CO64" s="66" t="str">
        <f>CONCATENATE(CM64,".",CN64)</f>
        <v>ДП Viva.купе.робоча.КД ECO-FIT</v>
      </c>
      <c r="CW64" s="113"/>
      <c r="CY64" s="626" t="s">
        <v>1055</v>
      </c>
      <c r="CZ64" s="683" t="s">
        <v>1061</v>
      </c>
      <c r="DA64" s="627" t="s">
        <v>1069</v>
      </c>
      <c r="DD64" s="157" t="s">
        <v>513</v>
      </c>
      <c r="DE64" s="158">
        <v>5470</v>
      </c>
      <c r="DF64" s="490">
        <f t="shared" ref="DF64:DF83" si="51">ROUND(((DE64-(DE64/6))/$DD$3)*$DE$3,2)</f>
        <v>5470</v>
      </c>
      <c r="DG64" s="491"/>
      <c r="DH64" s="492">
        <f t="shared" ref="DH64:DH83" si="52">IF(DG64="",DF64,
IF(AND($DE$10&gt;=VLOOKUP(DG64,$DD$5:$DH$9,2,0),$DE$10&lt;=VLOOKUP(DG64,$DD$5:$DH$9,3,0)),
(DF64*(1-VLOOKUP(DG64,$DD$5:$DH$9,4,0))),
DF64))</f>
        <v>5470</v>
      </c>
      <c r="DP64" s="56" t="s">
        <v>611</v>
      </c>
      <c r="DQ64" s="97">
        <v>0</v>
      </c>
      <c r="DR64" s="503">
        <f t="shared" si="20"/>
        <v>0</v>
      </c>
      <c r="DS64" s="487"/>
      <c r="DT64" s="486">
        <f t="shared" si="21"/>
        <v>0</v>
      </c>
      <c r="DU64" s="158"/>
      <c r="DV64" s="157" t="s">
        <v>643</v>
      </c>
      <c r="DW64" s="158">
        <v>0</v>
      </c>
      <c r="DX64" s="490">
        <f t="shared" si="47"/>
        <v>0</v>
      </c>
      <c r="DY64" s="491"/>
      <c r="DZ64" s="492">
        <f t="shared" si="48"/>
        <v>0</v>
      </c>
      <c r="EG64" s="157"/>
      <c r="EH64" s="154" t="s">
        <v>1537</v>
      </c>
      <c r="EI64" s="155">
        <v>0</v>
      </c>
      <c r="EJ64" s="504">
        <f>ROUND(((EI64-(EI64/6))/$DD$3)*$DE$3,2)</f>
        <v>0</v>
      </c>
      <c r="EK64" s="496"/>
      <c r="EL64" s="497">
        <f>IF(EK64="",EJ64,
IF(AND($EI$10&gt;=VLOOKUP(EK64,$EH$5:$EL$9,2,0),$EI$10&lt;=VLOOKUP(EK64,$EH$5:$EL$9,3,0)),
(EJ64*(1-VLOOKUP(EK64,$EH$5:$EL$9,4,0))),
EJ64))</f>
        <v>0</v>
      </c>
    </row>
    <row r="65" spans="2:142" x14ac:dyDescent="0.2">
      <c r="B65" s="29"/>
      <c r="C65" s="392" t="s">
        <v>760</v>
      </c>
      <c r="D65" s="395" t="s">
        <v>196</v>
      </c>
      <c r="E65" s="28"/>
      <c r="L65" s="45" t="s">
        <v>411</v>
      </c>
      <c r="M65" s="44" t="s">
        <v>407</v>
      </c>
      <c r="N65" s="85" t="s">
        <v>732</v>
      </c>
      <c r="O65" s="403" t="s">
        <v>195</v>
      </c>
      <c r="P65" s="20"/>
      <c r="Q65" s="136" t="s">
        <v>421</v>
      </c>
      <c r="R65" s="89" t="s">
        <v>57</v>
      </c>
      <c r="S65" s="85" t="s">
        <v>280</v>
      </c>
      <c r="U65" s="146" t="s">
        <v>1120</v>
      </c>
      <c r="V65" s="143" t="s">
        <v>318</v>
      </c>
      <c r="W65" s="151" t="s">
        <v>808</v>
      </c>
      <c r="AK65" s="552"/>
      <c r="AL65" s="455"/>
      <c r="AM65" s="553"/>
      <c r="AO65" s="90"/>
      <c r="AP65" s="89"/>
      <c r="AQ65" s="85"/>
      <c r="AU65" s="209" t="s">
        <v>479</v>
      </c>
      <c r="AV65" s="141" t="s">
        <v>468</v>
      </c>
      <c r="AW65" s="131" t="str">
        <f t="shared" si="29"/>
        <v>ДП GRANDE.4A</v>
      </c>
      <c r="AY65" s="209" t="s">
        <v>395</v>
      </c>
      <c r="AZ65" s="58" t="s">
        <v>303</v>
      </c>
      <c r="BA65" s="131" t="str">
        <f t="shared" si="1"/>
        <v>ДП LIANO.1.купе</v>
      </c>
      <c r="BK65" s="125" t="s">
        <v>1414</v>
      </c>
      <c r="BL65" s="126" t="s">
        <v>1422</v>
      </c>
      <c r="BM65" s="127" t="str">
        <f t="shared" si="44"/>
        <v>Плінтус 80мм (від 8 шт).ECO-Resist</v>
      </c>
      <c r="BS65" s="36" t="s">
        <v>421</v>
      </c>
      <c r="BT65" s="44" t="s">
        <v>471</v>
      </c>
      <c r="BU65" s="66" t="str">
        <f t="shared" si="4"/>
        <v>ДП GRANDE.4.Стандарт</v>
      </c>
      <c r="BW65" s="208"/>
      <c r="BX65" s="208"/>
      <c r="BY65" s="208"/>
      <c r="CA65" s="220" t="s">
        <v>1036</v>
      </c>
      <c r="CB65" s="19" t="s">
        <v>1344</v>
      </c>
      <c r="CC65" s="130" t="str">
        <f t="shared" si="50"/>
        <v>ДП LIANO.фальц.робоча.Stand ст Лів +3завіс</v>
      </c>
      <c r="CE65" s="511"/>
      <c r="CF65" s="509"/>
      <c r="CG65" s="510"/>
      <c r="CM65" s="412"/>
      <c r="CN65" s="407"/>
      <c r="CO65" s="408"/>
      <c r="CW65" s="113"/>
      <c r="CY65" s="626" t="s">
        <v>1061</v>
      </c>
      <c r="CZ65" s="683" t="s">
        <v>1061</v>
      </c>
      <c r="DA65" s="627" t="s">
        <v>1069</v>
      </c>
      <c r="DD65" s="157" t="s">
        <v>1444</v>
      </c>
      <c r="DE65" s="158">
        <v>6200</v>
      </c>
      <c r="DF65" s="490">
        <f t="shared" si="51"/>
        <v>6200</v>
      </c>
      <c r="DG65" s="491"/>
      <c r="DH65" s="492">
        <f t="shared" si="52"/>
        <v>6200</v>
      </c>
      <c r="DP65" s="241"/>
      <c r="DQ65" s="242"/>
      <c r="DR65" s="489"/>
      <c r="DS65" s="499"/>
      <c r="DT65" s="244"/>
      <c r="DU65" s="158"/>
      <c r="DV65" s="100" t="s">
        <v>644</v>
      </c>
      <c r="DW65" s="156">
        <v>640</v>
      </c>
      <c r="DX65" s="498">
        <f t="shared" si="47"/>
        <v>640</v>
      </c>
      <c r="DY65" s="493"/>
      <c r="DZ65" s="494">
        <f t="shared" si="48"/>
        <v>640</v>
      </c>
      <c r="EG65" s="157"/>
      <c r="EH65" s="100" t="s">
        <v>1091</v>
      </c>
      <c r="EI65" s="156">
        <v>2070</v>
      </c>
      <c r="EJ65" s="498">
        <f>ROUND(((EI65-(EI65/6))/$DD$3)*$DE$3,2)</f>
        <v>2070</v>
      </c>
      <c r="EK65" s="493"/>
      <c r="EL65" s="494">
        <f>IF(EK65="",EJ65,
IF(AND($EI$10&gt;=VLOOKUP(EK65,$EH$5:$EL$9,2,0),$EI$10&lt;=VLOOKUP(EK65,$EH$5:$EL$9,3,0)),
(EJ65*(1-VLOOKUP(EK65,$EH$5:$EL$9,4,0))),
EJ65))</f>
        <v>2070</v>
      </c>
    </row>
    <row r="66" spans="2:142" x14ac:dyDescent="0.2">
      <c r="B66" s="29"/>
      <c r="C66" s="392" t="s">
        <v>767</v>
      </c>
      <c r="D66" s="395" t="s">
        <v>196</v>
      </c>
      <c r="E66" s="28"/>
      <c r="L66" s="45" t="s">
        <v>412</v>
      </c>
      <c r="M66" s="44" t="s">
        <v>407</v>
      </c>
      <c r="N66" s="85" t="s">
        <v>732</v>
      </c>
      <c r="O66" s="403" t="s">
        <v>195</v>
      </c>
      <c r="Q66" s="54" t="s">
        <v>422</v>
      </c>
      <c r="R66" s="89" t="s">
        <v>58</v>
      </c>
      <c r="S66" s="85" t="s">
        <v>281</v>
      </c>
      <c r="U66" s="146" t="s">
        <v>1122</v>
      </c>
      <c r="V66" s="143" t="s">
        <v>319</v>
      </c>
      <c r="W66" s="151" t="s">
        <v>982</v>
      </c>
      <c r="AK66" s="548" t="s">
        <v>1156</v>
      </c>
      <c r="AL66" s="93">
        <v>30</v>
      </c>
      <c r="AM66" s="550" t="s">
        <v>1170</v>
      </c>
      <c r="AO66" s="90"/>
      <c r="AP66" s="89"/>
      <c r="AQ66" s="85"/>
      <c r="AU66" s="220" t="s">
        <v>480</v>
      </c>
      <c r="AV66" s="140" t="s">
        <v>164</v>
      </c>
      <c r="AW66" s="130" t="str">
        <f t="shared" si="29"/>
        <v>ДП PIANO.1</v>
      </c>
      <c r="AY66" s="220" t="s">
        <v>397</v>
      </c>
      <c r="AZ66" s="129" t="s">
        <v>302</v>
      </c>
      <c r="BA66" s="130" t="str">
        <f t="shared" si="1"/>
        <v>ДП LIANO.2.фальц</v>
      </c>
      <c r="BK66" s="408"/>
      <c r="BL66" s="408"/>
      <c r="BM66" s="408"/>
      <c r="BS66" s="36" t="s">
        <v>422</v>
      </c>
      <c r="BT66" s="44" t="s">
        <v>471</v>
      </c>
      <c r="BU66" s="66" t="str">
        <f t="shared" ref="BU66:BU86" si="53">CONCATENATE(BS66,".",BT66)</f>
        <v>ДП GRANDE.5.Стандарт</v>
      </c>
      <c r="BW66" s="56" t="s">
        <v>406</v>
      </c>
      <c r="BX66" s="57" t="s">
        <v>929</v>
      </c>
      <c r="BY66" s="66" t="str">
        <f t="shared" si="17"/>
        <v>ДП BERGAMO.1.(ні)</v>
      </c>
      <c r="CA66" s="220" t="s">
        <v>1036</v>
      </c>
      <c r="CB66" s="19" t="s">
        <v>1345</v>
      </c>
      <c r="CC66" s="130" t="str">
        <f t="shared" si="50"/>
        <v>ДП LIANO.фальц.робоча.Stand ст Пр +3завіс</v>
      </c>
      <c r="CE66" s="217" t="s">
        <v>1042</v>
      </c>
      <c r="CF66" s="129"/>
      <c r="CG66" s="130" t="str">
        <f t="shared" ref="CG66:CG73" si="54">CONCATENATE(CE66,".",CF66)</f>
        <v>ДП GRANDE.фальц.робоча.</v>
      </c>
      <c r="CM66" s="128" t="s">
        <v>1048</v>
      </c>
      <c r="CN66" s="129" t="s">
        <v>366</v>
      </c>
      <c r="CO66" s="130" t="str">
        <f>CONCATENATE(CM66,".",CN66)</f>
        <v>ДП VIENTO.фальц.робоча.КД Classic</v>
      </c>
      <c r="CW66" s="113"/>
      <c r="CY66" s="626" t="s">
        <v>1102</v>
      </c>
      <c r="CZ66" s="683" t="s">
        <v>1061</v>
      </c>
      <c r="DA66" s="627" t="s">
        <v>1069</v>
      </c>
      <c r="DD66" s="157" t="s">
        <v>514</v>
      </c>
      <c r="DE66" s="158">
        <v>5470</v>
      </c>
      <c r="DF66" s="490">
        <f t="shared" si="51"/>
        <v>5470</v>
      </c>
      <c r="DG66" s="491"/>
      <c r="DH66" s="492">
        <f t="shared" si="52"/>
        <v>5470</v>
      </c>
      <c r="DP66" s="56" t="s">
        <v>943</v>
      </c>
      <c r="DQ66" s="97">
        <v>0</v>
      </c>
      <c r="DR66" s="503">
        <f t="shared" si="20"/>
        <v>0</v>
      </c>
      <c r="DS66" s="487"/>
      <c r="DT66" s="486">
        <f t="shared" si="21"/>
        <v>0</v>
      </c>
      <c r="DU66" s="158"/>
      <c r="DV66" s="600"/>
      <c r="DW66" s="601"/>
      <c r="DX66" s="604"/>
      <c r="DY66" s="605"/>
      <c r="DZ66" s="606"/>
      <c r="EG66" s="157"/>
      <c r="EH66" s="100" t="s">
        <v>1538</v>
      </c>
      <c r="EI66" s="156">
        <v>2450</v>
      </c>
      <c r="EJ66" s="498">
        <f>ROUND(((EI66-(EI66/6))/$DD$3)*$DE$3,2)</f>
        <v>2450</v>
      </c>
      <c r="EK66" s="493"/>
      <c r="EL66" s="494">
        <f>IF(EK66="",EJ66,
IF(AND($EI$10&gt;=VLOOKUP(EK66,$EH$5:$EL$9,2,0),$EI$10&lt;=VLOOKUP(EK66,$EH$5:$EL$9,3,0)),
(EJ66*(1-VLOOKUP(EK66,$EH$5:$EL$9,4,0))),
EJ66))</f>
        <v>2450</v>
      </c>
    </row>
    <row r="67" spans="2:142" x14ac:dyDescent="0.2">
      <c r="B67" s="29"/>
      <c r="C67" s="392" t="s">
        <v>768</v>
      </c>
      <c r="D67" s="395" t="s">
        <v>196</v>
      </c>
      <c r="E67" s="28"/>
      <c r="L67" s="45" t="s">
        <v>413</v>
      </c>
      <c r="M67" s="44" t="s">
        <v>407</v>
      </c>
      <c r="N67" s="85" t="s">
        <v>732</v>
      </c>
      <c r="O67" s="403" t="s">
        <v>195</v>
      </c>
      <c r="Q67" s="54" t="s">
        <v>423</v>
      </c>
      <c r="R67" s="89" t="s">
        <v>59</v>
      </c>
      <c r="S67" s="85" t="s">
        <v>282</v>
      </c>
      <c r="U67" s="146" t="s">
        <v>1124</v>
      </c>
      <c r="V67" s="143" t="s">
        <v>320</v>
      </c>
      <c r="W67" s="151" t="s">
        <v>983</v>
      </c>
      <c r="AK67" s="552"/>
      <c r="AL67" s="455"/>
      <c r="AM67" s="553"/>
      <c r="AO67" s="535"/>
      <c r="AP67" s="539"/>
      <c r="AQ67" s="521"/>
      <c r="AU67" s="220" t="s">
        <v>480</v>
      </c>
      <c r="AV67" s="140" t="s">
        <v>165</v>
      </c>
      <c r="AW67" s="130" t="str">
        <f t="shared" si="29"/>
        <v>ДП PIANO.2</v>
      </c>
      <c r="AY67" s="209" t="s">
        <v>397</v>
      </c>
      <c r="AZ67" s="58" t="s">
        <v>303</v>
      </c>
      <c r="BA67" s="131" t="str">
        <f t="shared" si="1"/>
        <v>ДП LIANO.2.купе</v>
      </c>
      <c r="BK67" s="125"/>
      <c r="BL67" s="126"/>
      <c r="BM67" s="127"/>
      <c r="BS67" s="36" t="s">
        <v>423</v>
      </c>
      <c r="BT67" s="44" t="s">
        <v>471</v>
      </c>
      <c r="BU67" s="66" t="str">
        <f t="shared" si="53"/>
        <v>ДП GRANDE.6.Стандарт</v>
      </c>
      <c r="BW67" s="56" t="s">
        <v>408</v>
      </c>
      <c r="BX67" s="57" t="s">
        <v>139</v>
      </c>
      <c r="BY67" s="66" t="str">
        <f t="shared" si="17"/>
        <v>ДП BERGAMO.2.Сатин</v>
      </c>
      <c r="CA67" s="217" t="s">
        <v>1037</v>
      </c>
      <c r="CB67" s="126" t="s">
        <v>929</v>
      </c>
      <c r="CC67" s="127" t="str">
        <f t="shared" si="50"/>
        <v>ДП LIANO.фальц.неробоча.(ні)</v>
      </c>
      <c r="CE67" s="220" t="s">
        <v>1042</v>
      </c>
      <c r="CF67" s="129" t="s">
        <v>953</v>
      </c>
      <c r="CG67" s="130" t="str">
        <f t="shared" si="54"/>
        <v>ДП GRANDE.фальц.робоча.ВВ</v>
      </c>
      <c r="CM67" s="40" t="s">
        <v>1048</v>
      </c>
      <c r="CN67" s="58" t="s">
        <v>367</v>
      </c>
      <c r="CO67" s="131" t="str">
        <f>CONCATENATE(CM67,".",CN67)</f>
        <v>ДП VIENTO.фальц.робоча.КД ECO-FIT</v>
      </c>
      <c r="CW67" s="113"/>
      <c r="CY67" s="626" t="s">
        <v>1057</v>
      </c>
      <c r="CZ67" s="683" t="s">
        <v>1072</v>
      </c>
      <c r="DA67" s="627" t="s">
        <v>1072</v>
      </c>
      <c r="DD67" s="157" t="s">
        <v>1445</v>
      </c>
      <c r="DE67" s="158">
        <v>6200</v>
      </c>
      <c r="DF67" s="490">
        <f t="shared" si="51"/>
        <v>6200</v>
      </c>
      <c r="DG67" s="491"/>
      <c r="DH67" s="492">
        <f t="shared" si="52"/>
        <v>6200</v>
      </c>
      <c r="DP67" s="56" t="s">
        <v>612</v>
      </c>
      <c r="DQ67" s="97">
        <v>0</v>
      </c>
      <c r="DR67" s="503">
        <f t="shared" si="20"/>
        <v>0</v>
      </c>
      <c r="DS67" s="487"/>
      <c r="DT67" s="486">
        <f t="shared" si="21"/>
        <v>0</v>
      </c>
      <c r="DU67" s="158"/>
      <c r="DV67" s="56" t="s">
        <v>938</v>
      </c>
      <c r="DW67" s="97">
        <v>0</v>
      </c>
      <c r="DX67" s="388">
        <f t="shared" ref="DX67:DX76" si="55">ROUND(((DW67-(DW67/6))/$DD$3)*$DE$3,2)</f>
        <v>0</v>
      </c>
      <c r="DY67" s="487"/>
      <c r="DZ67" s="486">
        <f t="shared" ref="DZ67:DZ76" si="56">IF(DY67="",DX67,
IF(AND($DW$10&gt;=VLOOKUP(DY67,$DV$5:$DZ$9,2,0),$DW$10&lt;=VLOOKUP(DY67,$DV$5:$DZ$9,3,0)),
(DX67*(1-VLOOKUP(DY67,$DV$5:$DZ$9,4,0))),
DX67))</f>
        <v>0</v>
      </c>
      <c r="EG67" s="157"/>
      <c r="EH67" s="241"/>
      <c r="EI67" s="242"/>
      <c r="EJ67" s="489"/>
      <c r="EK67" s="499"/>
      <c r="EL67" s="244"/>
    </row>
    <row r="68" spans="2:142" x14ac:dyDescent="0.2">
      <c r="B68" s="29"/>
      <c r="C68" s="392" t="s">
        <v>1288</v>
      </c>
      <c r="D68" s="395" t="s">
        <v>196</v>
      </c>
      <c r="E68" s="28"/>
      <c r="L68" s="45" t="s">
        <v>414</v>
      </c>
      <c r="M68" s="44" t="s">
        <v>407</v>
      </c>
      <c r="N68" s="85" t="s">
        <v>732</v>
      </c>
      <c r="O68" s="403" t="s">
        <v>195</v>
      </c>
      <c r="Q68" s="54" t="s">
        <v>424</v>
      </c>
      <c r="R68" s="89" t="s">
        <v>462</v>
      </c>
      <c r="S68" s="85" t="s">
        <v>463</v>
      </c>
      <c r="U68" s="146" t="s">
        <v>1125</v>
      </c>
      <c r="V68" s="143" t="s">
        <v>321</v>
      </c>
      <c r="W68" s="151" t="s">
        <v>984</v>
      </c>
      <c r="AK68" s="561" t="s">
        <v>1006</v>
      </c>
      <c r="AL68" s="89">
        <v>30</v>
      </c>
      <c r="AM68" s="553" t="s">
        <v>823</v>
      </c>
      <c r="AU68" s="209" t="s">
        <v>480</v>
      </c>
      <c r="AV68" s="141" t="s">
        <v>166</v>
      </c>
      <c r="AW68" s="131" t="str">
        <f t="shared" si="29"/>
        <v>ДП PIANO.3</v>
      </c>
      <c r="AY68" s="220" t="s">
        <v>398</v>
      </c>
      <c r="AZ68" s="129" t="s">
        <v>302</v>
      </c>
      <c r="BA68" s="130" t="str">
        <f t="shared" si="1"/>
        <v>ДП LIANO.3.фальц</v>
      </c>
      <c r="BK68" s="45"/>
      <c r="BL68" s="37"/>
      <c r="BM68" s="66"/>
      <c r="BS68" s="36" t="s">
        <v>424</v>
      </c>
      <c r="BT68" s="44" t="s">
        <v>471</v>
      </c>
      <c r="BU68" s="66" t="str">
        <f t="shared" si="53"/>
        <v>ДП GRANDE.1A.Стандарт</v>
      </c>
      <c r="BW68" s="56" t="s">
        <v>409</v>
      </c>
      <c r="BX68" s="57" t="s">
        <v>139</v>
      </c>
      <c r="BY68" s="66" t="str">
        <f t="shared" si="17"/>
        <v>ДП BERGAMO.3.Сатин</v>
      </c>
      <c r="CA68" s="220" t="s">
        <v>1037</v>
      </c>
      <c r="CB68" s="19" t="s">
        <v>1156</v>
      </c>
      <c r="CC68" s="130" t="str">
        <f t="shared" si="50"/>
        <v>ДП LIANO.фальц.неробоча.Пл Stand +3завіс</v>
      </c>
      <c r="CE68" s="209" t="s">
        <v>1042</v>
      </c>
      <c r="CF68" s="58" t="s">
        <v>198</v>
      </c>
      <c r="CG68" s="131" t="str">
        <f t="shared" si="54"/>
        <v>ДП GRANDE.фальц.робоча.ВП</v>
      </c>
      <c r="CM68" s="40" t="s">
        <v>1048</v>
      </c>
      <c r="CN68" s="239" t="s">
        <v>1585</v>
      </c>
      <c r="CO68" s="131" t="str">
        <f>CONCATENATE(CM68,".",CN68)</f>
        <v>ДП VIENTO.фальц.робоча.КД ECO-FIT Plus</v>
      </c>
      <c r="CW68" s="113"/>
      <c r="CY68" s="626" t="s">
        <v>1106</v>
      </c>
      <c r="CZ68" s="683" t="s">
        <v>1072</v>
      </c>
      <c r="DA68" s="627" t="s">
        <v>1072</v>
      </c>
      <c r="DD68" s="157" t="s">
        <v>515</v>
      </c>
      <c r="DE68" s="158">
        <v>5470</v>
      </c>
      <c r="DF68" s="490">
        <f t="shared" si="51"/>
        <v>5470</v>
      </c>
      <c r="DG68" s="491"/>
      <c r="DH68" s="492">
        <f t="shared" si="52"/>
        <v>5470</v>
      </c>
      <c r="DP68" s="56" t="s">
        <v>613</v>
      </c>
      <c r="DQ68" s="97">
        <v>0</v>
      </c>
      <c r="DR68" s="503">
        <f t="shared" si="20"/>
        <v>0</v>
      </c>
      <c r="DS68" s="487"/>
      <c r="DT68" s="486">
        <f t="shared" si="21"/>
        <v>0</v>
      </c>
      <c r="DU68" s="158"/>
      <c r="DV68" s="154" t="s">
        <v>1364</v>
      </c>
      <c r="DW68" s="155">
        <v>0</v>
      </c>
      <c r="DX68" s="495">
        <f t="shared" si="55"/>
        <v>0</v>
      </c>
      <c r="DY68" s="496"/>
      <c r="DZ68" s="497">
        <f t="shared" si="56"/>
        <v>0</v>
      </c>
      <c r="EG68" s="157"/>
      <c r="EH68" s="154" t="s">
        <v>1614</v>
      </c>
      <c r="EI68" s="155">
        <v>0</v>
      </c>
      <c r="EJ68" s="504">
        <f>ROUND(((EI68-(EI68/6))/$DD$3)*$DE$3,2)</f>
        <v>0</v>
      </c>
      <c r="EK68" s="496"/>
      <c r="EL68" s="497">
        <f>IF(EK68="",EJ68,
IF(AND($EI$10&gt;=VLOOKUP(EK68,$EH$5:$EL$9,2,0),$EI$10&lt;=VLOOKUP(EK68,$EH$5:$EL$9,3,0)),
(EJ68*(1-VLOOKUP(EK68,$EH$5:$EL$9,4,0))),
EJ68))</f>
        <v>0</v>
      </c>
    </row>
    <row r="69" spans="2:142" ht="10.8" thickBot="1" x14ac:dyDescent="0.25">
      <c r="B69" s="29"/>
      <c r="C69" s="392" t="s">
        <v>1289</v>
      </c>
      <c r="D69" s="395" t="s">
        <v>196</v>
      </c>
      <c r="E69" s="28"/>
      <c r="L69" s="45" t="s">
        <v>415</v>
      </c>
      <c r="M69" s="44" t="s">
        <v>407</v>
      </c>
      <c r="N69" s="85" t="s">
        <v>732</v>
      </c>
      <c r="O69" s="403" t="s">
        <v>195</v>
      </c>
      <c r="Q69" s="54" t="s">
        <v>425</v>
      </c>
      <c r="R69" s="89" t="s">
        <v>464</v>
      </c>
      <c r="S69" s="85" t="s">
        <v>465</v>
      </c>
      <c r="U69" s="146" t="s">
        <v>1127</v>
      </c>
      <c r="V69" s="143" t="s">
        <v>322</v>
      </c>
      <c r="W69" s="151" t="s">
        <v>985</v>
      </c>
      <c r="AK69" s="552"/>
      <c r="AL69" s="455"/>
      <c r="AM69" s="553"/>
      <c r="AU69" s="220" t="s">
        <v>1737</v>
      </c>
      <c r="AV69" s="140" t="s">
        <v>164</v>
      </c>
      <c r="AW69" s="130" t="str">
        <f t="shared" si="29"/>
        <v>ДП Viva.1</v>
      </c>
      <c r="AY69" s="209" t="s">
        <v>398</v>
      </c>
      <c r="AZ69" s="58" t="s">
        <v>303</v>
      </c>
      <c r="BA69" s="131" t="str">
        <f t="shared" si="1"/>
        <v>ДП LIANO.3.купе</v>
      </c>
      <c r="BK69" s="45"/>
      <c r="BL69" s="37"/>
      <c r="BM69" s="66"/>
      <c r="BS69" s="36" t="s">
        <v>425</v>
      </c>
      <c r="BT69" s="44" t="s">
        <v>471</v>
      </c>
      <c r="BU69" s="66" t="str">
        <f t="shared" si="53"/>
        <v>ДП GRANDE.2A.Стандарт</v>
      </c>
      <c r="BW69" s="56" t="s">
        <v>410</v>
      </c>
      <c r="BX69" s="57" t="s">
        <v>139</v>
      </c>
      <c r="BY69" s="66" t="str">
        <f t="shared" si="17"/>
        <v>ДП BERGAMO.4.Сатин</v>
      </c>
      <c r="CA69" s="217" t="s">
        <v>1038</v>
      </c>
      <c r="CB69" s="126" t="s">
        <v>929</v>
      </c>
      <c r="CC69" s="127" t="str">
        <f t="shared" si="50"/>
        <v>ДП LIANO.купе.робоча.(ні)</v>
      </c>
      <c r="CE69" s="217" t="s">
        <v>1043</v>
      </c>
      <c r="CF69" s="129"/>
      <c r="CG69" s="130" t="str">
        <f t="shared" si="54"/>
        <v>ДП GRANDE.фальц.неробоча.</v>
      </c>
      <c r="CM69" s="40" t="s">
        <v>1049</v>
      </c>
      <c r="CN69" s="58" t="s">
        <v>929</v>
      </c>
      <c r="CO69" s="66" t="str">
        <f>CONCATENATE(CM69,".",CN69)</f>
        <v>ДП VIENTO.фальц.неробоча.(ні)</v>
      </c>
      <c r="CW69" s="113"/>
      <c r="CY69" s="684"/>
      <c r="CZ69" s="685"/>
      <c r="DA69" s="686"/>
      <c r="DD69" s="157" t="s">
        <v>1446</v>
      </c>
      <c r="DE69" s="158">
        <v>6200</v>
      </c>
      <c r="DF69" s="490">
        <f t="shared" si="51"/>
        <v>6200</v>
      </c>
      <c r="DG69" s="491"/>
      <c r="DH69" s="492">
        <f t="shared" si="52"/>
        <v>6200</v>
      </c>
      <c r="DP69" s="56" t="s">
        <v>614</v>
      </c>
      <c r="DQ69" s="97">
        <v>0</v>
      </c>
      <c r="DR69" s="503">
        <f t="shared" si="20"/>
        <v>0</v>
      </c>
      <c r="DS69" s="487"/>
      <c r="DT69" s="486">
        <f t="shared" si="21"/>
        <v>0</v>
      </c>
      <c r="DU69" s="158"/>
      <c r="DV69" s="154" t="s">
        <v>1365</v>
      </c>
      <c r="DW69" s="158">
        <v>0</v>
      </c>
      <c r="DX69" s="490">
        <f>ROUND(((DW69-(DW69/6))/$DD$3)*$DE$3,2)</f>
        <v>0</v>
      </c>
      <c r="DY69" s="491"/>
      <c r="DZ69" s="492">
        <f>IF(DY69="",DX69,
IF(AND($DW$10&gt;=VLOOKUP(DY69,$DV$5:$DZ$9,2,0),$DW$10&lt;=VLOOKUP(DY69,$DV$5:$DZ$9,3,0)),
(DX69*(1-VLOOKUP(DY69,$DV$5:$DZ$9,4,0))),
DX69))</f>
        <v>0</v>
      </c>
      <c r="EG69" s="157"/>
      <c r="EH69" s="154" t="s">
        <v>1615</v>
      </c>
      <c r="EI69" s="155">
        <v>0</v>
      </c>
      <c r="EJ69" s="504">
        <f>ROUND(((EI69-(EI69/6))/$DD$3)*$DE$3,2)</f>
        <v>0</v>
      </c>
      <c r="EK69" s="496"/>
      <c r="EL69" s="497">
        <f>IF(EK69="",EJ69,
IF(AND($EI$10&gt;=VLOOKUP(EK69,$EH$5:$EL$9,2,0),$EI$10&lt;=VLOOKUP(EK69,$EH$5:$EL$9,3,0)),
(EJ69*(1-VLOOKUP(EK69,$EH$5:$EL$9,4,0))),
EJ69))</f>
        <v>0</v>
      </c>
    </row>
    <row r="70" spans="2:142" x14ac:dyDescent="0.2">
      <c r="B70" s="29"/>
      <c r="C70" s="392"/>
      <c r="D70" s="395"/>
      <c r="E70" s="28"/>
      <c r="L70" s="45" t="s">
        <v>416</v>
      </c>
      <c r="M70" s="44" t="s">
        <v>407</v>
      </c>
      <c r="N70" s="85" t="s">
        <v>732</v>
      </c>
      <c r="O70" s="403" t="s">
        <v>195</v>
      </c>
      <c r="Q70" s="54" t="s">
        <v>426</v>
      </c>
      <c r="R70" s="89" t="s">
        <v>466</v>
      </c>
      <c r="S70" s="85" t="s">
        <v>467</v>
      </c>
      <c r="U70" s="146" t="s">
        <v>1129</v>
      </c>
      <c r="V70" s="143" t="s">
        <v>323</v>
      </c>
      <c r="W70" s="151" t="s">
        <v>986</v>
      </c>
      <c r="AK70" s="543"/>
      <c r="AL70" s="456"/>
      <c r="AM70" s="544"/>
      <c r="AU70" s="220" t="s">
        <v>1737</v>
      </c>
      <c r="AV70" s="140" t="s">
        <v>165</v>
      </c>
      <c r="AW70" s="130" t="str">
        <f t="shared" si="29"/>
        <v>ДП Viva.2</v>
      </c>
      <c r="AY70" s="220" t="s">
        <v>399</v>
      </c>
      <c r="AZ70" s="129" t="s">
        <v>302</v>
      </c>
      <c r="BA70" s="130" t="str">
        <f t="shared" si="1"/>
        <v>ДП LIANO.4.фальц</v>
      </c>
      <c r="BK70" s="45"/>
      <c r="BL70" s="37"/>
      <c r="BM70" s="66"/>
      <c r="BS70" s="36" t="s">
        <v>426</v>
      </c>
      <c r="BT70" s="44" t="s">
        <v>471</v>
      </c>
      <c r="BU70" s="66" t="str">
        <f t="shared" si="53"/>
        <v>ДП GRANDE.3A.Стандарт</v>
      </c>
      <c r="BW70" s="56" t="s">
        <v>411</v>
      </c>
      <c r="BX70" s="57" t="s">
        <v>139</v>
      </c>
      <c r="BY70" s="66" t="str">
        <f t="shared" si="17"/>
        <v>ДП BERGAMO.5.Сатин</v>
      </c>
      <c r="CA70" s="220" t="s">
        <v>1038</v>
      </c>
      <c r="CB70" s="129" t="s">
        <v>140</v>
      </c>
      <c r="CC70" s="130" t="str">
        <f t="shared" si="50"/>
        <v>ДП LIANO.купе.робоча.Ручка-Захват</v>
      </c>
      <c r="CE70" s="220" t="s">
        <v>1043</v>
      </c>
      <c r="CF70" s="129" t="s">
        <v>953</v>
      </c>
      <c r="CG70" s="130" t="str">
        <f t="shared" si="54"/>
        <v>ДП GRANDE.фальц.неробоча.ВВ</v>
      </c>
      <c r="CM70" s="36" t="s">
        <v>1050</v>
      </c>
      <c r="CN70" s="52" t="s">
        <v>367</v>
      </c>
      <c r="CO70" s="66" t="str">
        <f>CONCATENATE(CM70,".",CN70)</f>
        <v>ДП VIENTO.купе.робоча.КД ECO-FIT</v>
      </c>
      <c r="CW70" s="113"/>
      <c r="CY70" s="139" t="s">
        <v>929</v>
      </c>
      <c r="CZ70" s="58" t="s">
        <v>929</v>
      </c>
      <c r="DA70" s="131" t="s">
        <v>264</v>
      </c>
      <c r="DD70" s="157" t="s">
        <v>516</v>
      </c>
      <c r="DE70" s="158">
        <v>5470</v>
      </c>
      <c r="DF70" s="490">
        <f t="shared" si="51"/>
        <v>5470</v>
      </c>
      <c r="DG70" s="491"/>
      <c r="DH70" s="492">
        <f t="shared" si="52"/>
        <v>5470</v>
      </c>
      <c r="DP70" s="56" t="s">
        <v>615</v>
      </c>
      <c r="DQ70" s="97">
        <v>0</v>
      </c>
      <c r="DR70" s="503">
        <f t="shared" si="20"/>
        <v>0</v>
      </c>
      <c r="DS70" s="487"/>
      <c r="DT70" s="486">
        <f t="shared" si="21"/>
        <v>0</v>
      </c>
      <c r="DU70" s="158"/>
      <c r="DV70" s="157" t="s">
        <v>1366</v>
      </c>
      <c r="DW70" s="158">
        <v>0</v>
      </c>
      <c r="DX70" s="490">
        <f t="shared" si="55"/>
        <v>0</v>
      </c>
      <c r="DY70" s="491"/>
      <c r="DZ70" s="492">
        <f t="shared" si="56"/>
        <v>0</v>
      </c>
      <c r="EG70" s="157"/>
      <c r="EH70" s="100" t="s">
        <v>1616</v>
      </c>
      <c r="EI70" s="156">
        <v>1540</v>
      </c>
      <c r="EJ70" s="498">
        <f>ROUND(((EI70-(EI70/6))/$DD$3)*$DE$3,2)</f>
        <v>1540</v>
      </c>
      <c r="EK70" s="493"/>
      <c r="EL70" s="494">
        <f>IF(EK70="",EJ70,
IF(AND($EI$10&gt;=VLOOKUP(EK70,$EH$5:$EL$9,2,0),$EI$10&lt;=VLOOKUP(EK70,$EH$5:$EL$9,3,0)),
(EJ70*(1-VLOOKUP(EK70,$EH$5:$EL$9,4,0))),
EJ70))</f>
        <v>1540</v>
      </c>
    </row>
    <row r="71" spans="2:142" x14ac:dyDescent="0.2">
      <c r="B71" s="29"/>
      <c r="C71" s="392" t="s">
        <v>725</v>
      </c>
      <c r="D71" s="395" t="s">
        <v>195</v>
      </c>
      <c r="E71" s="28"/>
      <c r="L71" s="45"/>
      <c r="M71" s="44"/>
      <c r="N71" s="85"/>
      <c r="O71" s="403"/>
      <c r="Q71" s="54" t="s">
        <v>427</v>
      </c>
      <c r="R71" s="89" t="s">
        <v>468</v>
      </c>
      <c r="S71" s="85" t="s">
        <v>469</v>
      </c>
      <c r="U71" s="146" t="s">
        <v>1130</v>
      </c>
      <c r="V71" s="143" t="s">
        <v>324</v>
      </c>
      <c r="W71" s="151" t="s">
        <v>987</v>
      </c>
      <c r="AK71" s="554"/>
      <c r="AL71" s="537"/>
      <c r="AM71" s="555"/>
      <c r="AU71" s="220" t="s">
        <v>481</v>
      </c>
      <c r="AV71" s="140" t="s">
        <v>164</v>
      </c>
      <c r="AW71" s="130" t="str">
        <f t="shared" si="29"/>
        <v>ДП VIENTO.1</v>
      </c>
      <c r="AY71" s="209" t="s">
        <v>399</v>
      </c>
      <c r="AZ71" s="58" t="s">
        <v>303</v>
      </c>
      <c r="BA71" s="131" t="str">
        <f t="shared" si="1"/>
        <v>ДП LIANO.4.купе</v>
      </c>
      <c r="BK71" s="45"/>
      <c r="BL71" s="37"/>
      <c r="BM71" s="66"/>
      <c r="BS71" s="36" t="s">
        <v>427</v>
      </c>
      <c r="BT71" s="44" t="s">
        <v>471</v>
      </c>
      <c r="BU71" s="66" t="str">
        <f t="shared" si="53"/>
        <v>ДП GRANDE.4A.Стандарт</v>
      </c>
      <c r="BW71" s="56" t="s">
        <v>412</v>
      </c>
      <c r="BX71" s="57" t="s">
        <v>139</v>
      </c>
      <c r="BY71" s="66" t="str">
        <f t="shared" si="17"/>
        <v>ДП BERGAMO.6.Сатин</v>
      </c>
      <c r="CA71" s="220" t="s">
        <v>1038</v>
      </c>
      <c r="CB71" s="129" t="s">
        <v>192</v>
      </c>
      <c r="CC71" s="130" t="str">
        <f t="shared" si="50"/>
        <v>ДП LIANO.купе.робоча.Ручка-Замок</v>
      </c>
      <c r="CE71" s="209" t="s">
        <v>1043</v>
      </c>
      <c r="CF71" s="58" t="s">
        <v>198</v>
      </c>
      <c r="CG71" s="131" t="str">
        <f t="shared" si="54"/>
        <v>ДП GRANDE.фальц.неробоча.ВП</v>
      </c>
      <c r="CM71" s="412"/>
      <c r="CN71" s="407"/>
      <c r="CO71" s="408"/>
      <c r="CW71" s="113"/>
      <c r="CY71" s="137" t="s">
        <v>1340</v>
      </c>
      <c r="CZ71" s="126" t="s">
        <v>1156</v>
      </c>
      <c r="DA71" s="127" t="s">
        <v>264</v>
      </c>
      <c r="DD71" s="157" t="s">
        <v>1447</v>
      </c>
      <c r="DE71" s="158">
        <v>6200</v>
      </c>
      <c r="DF71" s="490">
        <f t="shared" si="51"/>
        <v>6200</v>
      </c>
      <c r="DG71" s="491"/>
      <c r="DH71" s="492">
        <f t="shared" si="52"/>
        <v>6200</v>
      </c>
      <c r="DP71" s="56" t="s">
        <v>616</v>
      </c>
      <c r="DQ71" s="97">
        <v>0</v>
      </c>
      <c r="DR71" s="503">
        <f t="shared" si="20"/>
        <v>0</v>
      </c>
      <c r="DS71" s="487"/>
      <c r="DT71" s="486">
        <f t="shared" si="21"/>
        <v>0</v>
      </c>
      <c r="DU71" s="158"/>
      <c r="DV71" s="157" t="s">
        <v>1367</v>
      </c>
      <c r="DW71" s="158">
        <v>0</v>
      </c>
      <c r="DX71" s="490">
        <f>ROUND(((DW71-(DW71/6))/$DD$3)*$DE$3,2)</f>
        <v>0</v>
      </c>
      <c r="DY71" s="491"/>
      <c r="DZ71" s="492">
        <f>IF(DY71="",DX71,
IF(AND($DW$10&gt;=VLOOKUP(DY71,$DV$5:$DZ$9,2,0),$DW$10&lt;=VLOOKUP(DY71,$DV$5:$DZ$9,3,0)),
(DX71*(1-VLOOKUP(DY71,$DV$5:$DZ$9,4,0))),
DX71))</f>
        <v>0</v>
      </c>
      <c r="EG71" s="157"/>
      <c r="EH71" s="100" t="s">
        <v>1617</v>
      </c>
      <c r="EI71" s="156">
        <v>1870</v>
      </c>
      <c r="EJ71" s="498">
        <f>ROUND(((EI71-(EI71/6))/$DD$3)*$DE$3,2)</f>
        <v>1870</v>
      </c>
      <c r="EK71" s="493"/>
      <c r="EL71" s="494">
        <f>IF(EK71="",EJ71,
IF(AND($EI$10&gt;=VLOOKUP(EK71,$EH$5:$EL$9,2,0),$EI$10&lt;=VLOOKUP(EK71,$EH$5:$EL$9,3,0)),
(EJ71*(1-VLOOKUP(EK71,$EH$5:$EL$9,4,0))),
EJ71))</f>
        <v>1870</v>
      </c>
    </row>
    <row r="72" spans="2:142" x14ac:dyDescent="0.2">
      <c r="B72" s="29"/>
      <c r="C72" s="392" t="s">
        <v>726</v>
      </c>
      <c r="D72" s="395" t="s">
        <v>195</v>
      </c>
      <c r="E72" s="28"/>
      <c r="L72" s="54" t="s">
        <v>417</v>
      </c>
      <c r="M72" s="647" t="s">
        <v>418</v>
      </c>
      <c r="N72" s="85" t="s">
        <v>733</v>
      </c>
      <c r="O72" s="403" t="s">
        <v>195</v>
      </c>
      <c r="Q72" s="54"/>
      <c r="R72" s="89"/>
      <c r="S72" s="85"/>
      <c r="U72" s="146" t="s">
        <v>1132</v>
      </c>
      <c r="V72" s="143" t="s">
        <v>325</v>
      </c>
      <c r="W72" s="151" t="s">
        <v>988</v>
      </c>
      <c r="AK72" s="543"/>
      <c r="AL72" s="456"/>
      <c r="AM72" s="544"/>
      <c r="AU72" s="220" t="s">
        <v>481</v>
      </c>
      <c r="AV72" s="140" t="s">
        <v>165</v>
      </c>
      <c r="AW72" s="130" t="str">
        <f t="shared" si="29"/>
        <v>ДП VIENTO.2</v>
      </c>
      <c r="AY72" s="220" t="s">
        <v>400</v>
      </c>
      <c r="AZ72" s="129" t="s">
        <v>302</v>
      </c>
      <c r="BA72" s="130" t="str">
        <f t="shared" si="1"/>
        <v>ДП LIANO.5.фальц</v>
      </c>
      <c r="BK72" s="528"/>
      <c r="BL72" s="526"/>
      <c r="BM72" s="527"/>
      <c r="BS72" s="412"/>
      <c r="BT72" s="207"/>
      <c r="BU72" s="208"/>
      <c r="BW72" s="56" t="s">
        <v>413</v>
      </c>
      <c r="BX72" s="57" t="s">
        <v>139</v>
      </c>
      <c r="BY72" s="66" t="str">
        <f t="shared" si="17"/>
        <v>ДП BERGAMO.1A.Сатин</v>
      </c>
      <c r="CA72" s="412"/>
      <c r="CB72" s="207"/>
      <c r="CC72" s="208"/>
      <c r="CE72" s="217" t="s">
        <v>1044</v>
      </c>
      <c r="CF72" s="129"/>
      <c r="CG72" s="130" t="str">
        <f t="shared" si="54"/>
        <v>ДП GRANDE.купе.робоча.</v>
      </c>
      <c r="CM72" s="128" t="s">
        <v>1843</v>
      </c>
      <c r="CN72" s="129" t="s">
        <v>366</v>
      </c>
      <c r="CO72" s="130" t="str">
        <f>CONCATENATE(CM72,".",CN72)</f>
        <v>ДП Neapol.фальц.робоча.КД Classic</v>
      </c>
      <c r="CW72" s="113"/>
      <c r="CY72" s="137" t="s">
        <v>1341</v>
      </c>
      <c r="CZ72" s="126" t="s">
        <v>1156</v>
      </c>
      <c r="DA72" s="127" t="s">
        <v>264</v>
      </c>
      <c r="DD72" s="157" t="s">
        <v>517</v>
      </c>
      <c r="DE72" s="158">
        <v>5470</v>
      </c>
      <c r="DF72" s="490">
        <f t="shared" si="51"/>
        <v>5470</v>
      </c>
      <c r="DG72" s="491"/>
      <c r="DH72" s="492">
        <f t="shared" si="52"/>
        <v>5470</v>
      </c>
      <c r="DP72" s="56" t="s">
        <v>617</v>
      </c>
      <c r="DQ72" s="97">
        <v>0</v>
      </c>
      <c r="DR72" s="503">
        <f t="shared" si="20"/>
        <v>0</v>
      </c>
      <c r="DS72" s="487"/>
      <c r="DT72" s="486">
        <f t="shared" si="21"/>
        <v>0</v>
      </c>
      <c r="DU72" s="158"/>
      <c r="DV72" s="157" t="s">
        <v>1368</v>
      </c>
      <c r="DW72" s="158">
        <v>0</v>
      </c>
      <c r="DX72" s="490">
        <f t="shared" si="55"/>
        <v>0</v>
      </c>
      <c r="DY72" s="491"/>
      <c r="DZ72" s="492">
        <f t="shared" si="56"/>
        <v>0</v>
      </c>
      <c r="EG72" s="157"/>
      <c r="EH72" s="505"/>
      <c r="EI72" s="506"/>
      <c r="EJ72" s="609"/>
      <c r="EK72" s="610"/>
      <c r="EL72" s="611"/>
    </row>
    <row r="73" spans="2:142" x14ac:dyDescent="0.2">
      <c r="B73" s="29"/>
      <c r="C73" s="392" t="s">
        <v>727</v>
      </c>
      <c r="D73" s="395" t="s">
        <v>195</v>
      </c>
      <c r="E73" s="28"/>
      <c r="L73" s="136" t="s">
        <v>419</v>
      </c>
      <c r="M73" s="647" t="s">
        <v>418</v>
      </c>
      <c r="N73" s="85" t="s">
        <v>733</v>
      </c>
      <c r="O73" s="403" t="s">
        <v>195</v>
      </c>
      <c r="Q73" s="54" t="s">
        <v>428</v>
      </c>
      <c r="R73" s="89" t="s">
        <v>54</v>
      </c>
      <c r="S73" s="85" t="s">
        <v>277</v>
      </c>
      <c r="U73" s="146" t="s">
        <v>1134</v>
      </c>
      <c r="V73" s="143" t="s">
        <v>326</v>
      </c>
      <c r="W73" s="151" t="s">
        <v>989</v>
      </c>
      <c r="AK73" s="561" t="s">
        <v>79</v>
      </c>
      <c r="AL73" s="89" t="s">
        <v>63</v>
      </c>
      <c r="AM73" s="553" t="s">
        <v>824</v>
      </c>
      <c r="AU73" s="220" t="s">
        <v>481</v>
      </c>
      <c r="AV73" s="140" t="s">
        <v>166</v>
      </c>
      <c r="AW73" s="130" t="str">
        <f t="shared" si="29"/>
        <v>ДП VIENTO.3</v>
      </c>
      <c r="AY73" s="209" t="s">
        <v>400</v>
      </c>
      <c r="AZ73" s="58" t="s">
        <v>303</v>
      </c>
      <c r="BA73" s="131" t="str">
        <f t="shared" si="1"/>
        <v>ДП LIANO.5.купе</v>
      </c>
      <c r="BS73" s="36" t="s">
        <v>428</v>
      </c>
      <c r="BT73" s="44" t="s">
        <v>471</v>
      </c>
      <c r="BU73" s="66" t="str">
        <f t="shared" si="53"/>
        <v>ДП PIANO.1.Стандарт</v>
      </c>
      <c r="BW73" s="56" t="s">
        <v>414</v>
      </c>
      <c r="BX73" s="57" t="s">
        <v>139</v>
      </c>
      <c r="BY73" s="66" t="str">
        <f t="shared" si="17"/>
        <v>ДП BERGAMO.2A.Сатин</v>
      </c>
      <c r="CA73" s="220" t="s">
        <v>1039</v>
      </c>
      <c r="CB73" s="129" t="s">
        <v>929</v>
      </c>
      <c r="CC73" s="130" t="str">
        <f t="shared" ref="CC73:CC83" si="57">CONCATENATE(CA73,".",CB73)</f>
        <v>ДП BERGAMO.фальц.робоча.(ні)</v>
      </c>
      <c r="CE73" s="220" t="s">
        <v>1044</v>
      </c>
      <c r="CF73" s="58" t="s">
        <v>953</v>
      </c>
      <c r="CG73" s="131" t="str">
        <f t="shared" si="54"/>
        <v>ДП GRANDE.купе.робоча.ВВ</v>
      </c>
      <c r="CM73" s="40" t="s">
        <v>1843</v>
      </c>
      <c r="CN73" s="58" t="s">
        <v>367</v>
      </c>
      <c r="CO73" s="131" t="str">
        <f>CONCATENATE(CM73,".",CN73)</f>
        <v>ДП Neapol.фальц.робоча.КД ECO-FIT</v>
      </c>
      <c r="CW73" s="113"/>
      <c r="CY73" s="138" t="s">
        <v>1342</v>
      </c>
      <c r="CZ73" s="129" t="s">
        <v>1156</v>
      </c>
      <c r="DA73" s="130" t="s">
        <v>264</v>
      </c>
      <c r="DD73" s="157" t="s">
        <v>1448</v>
      </c>
      <c r="DE73" s="158">
        <v>6200</v>
      </c>
      <c r="DF73" s="490">
        <f t="shared" si="51"/>
        <v>6200</v>
      </c>
      <c r="DG73" s="491"/>
      <c r="DH73" s="492">
        <f t="shared" si="52"/>
        <v>6200</v>
      </c>
      <c r="DP73" s="56" t="s">
        <v>618</v>
      </c>
      <c r="DQ73" s="97">
        <v>0</v>
      </c>
      <c r="DR73" s="503">
        <f t="shared" si="20"/>
        <v>0</v>
      </c>
      <c r="DS73" s="487"/>
      <c r="DT73" s="486">
        <f t="shared" si="21"/>
        <v>0</v>
      </c>
      <c r="DU73" s="158"/>
      <c r="DV73" s="157" t="s">
        <v>1369</v>
      </c>
      <c r="DW73" s="158">
        <v>0</v>
      </c>
      <c r="DX73" s="490">
        <f>ROUND(((DW73-(DW73/6))/$DD$3)*$DE$3,2)</f>
        <v>0</v>
      </c>
      <c r="DY73" s="491"/>
      <c r="DZ73" s="492">
        <f>IF(DY73="",DX73,
IF(AND($DW$10&gt;=VLOOKUP(DY73,$DV$5:$DZ$9,2,0),$DW$10&lt;=VLOOKUP(DY73,$DV$5:$DZ$9,3,0)),
(DX73*(1-VLOOKUP(DY73,$DV$5:$DZ$9,4,0))),
DX73))</f>
        <v>0</v>
      </c>
      <c r="EG73" s="157"/>
      <c r="EH73" s="154" t="s">
        <v>1618</v>
      </c>
      <c r="EI73" s="155">
        <v>0</v>
      </c>
      <c r="EJ73" s="504">
        <f>ROUND(((EI73-(EI73/6))/$DD$3)*$DE$3,2)</f>
        <v>0</v>
      </c>
      <c r="EK73" s="496"/>
      <c r="EL73" s="497">
        <f>IF(EK73="",EJ73,
IF(AND($EI$10&gt;=VLOOKUP(EK73,$EH$5:$EL$9,2,0),$EI$10&lt;=VLOOKUP(EK73,$EH$5:$EL$9,3,0)),
(EJ73*(1-VLOOKUP(EK73,$EH$5:$EL$9,4,0))),
EJ73))</f>
        <v>0</v>
      </c>
    </row>
    <row r="74" spans="2:142" x14ac:dyDescent="0.2">
      <c r="B74" s="29"/>
      <c r="C74" s="392" t="s">
        <v>898</v>
      </c>
      <c r="D74" s="395" t="s">
        <v>195</v>
      </c>
      <c r="E74" s="28"/>
      <c r="L74" s="136" t="s">
        <v>420</v>
      </c>
      <c r="M74" s="647" t="s">
        <v>418</v>
      </c>
      <c r="N74" s="519" t="s">
        <v>733</v>
      </c>
      <c r="O74" s="403" t="s">
        <v>195</v>
      </c>
      <c r="Q74" s="54" t="s">
        <v>430</v>
      </c>
      <c r="R74" s="89" t="s">
        <v>55</v>
      </c>
      <c r="S74" s="85" t="s">
        <v>278</v>
      </c>
      <c r="U74" s="147" t="s">
        <v>1135</v>
      </c>
      <c r="V74" s="144" t="s">
        <v>327</v>
      </c>
      <c r="W74" s="152" t="s">
        <v>990</v>
      </c>
      <c r="AK74" s="561" t="s">
        <v>80</v>
      </c>
      <c r="AL74" s="89" t="s">
        <v>64</v>
      </c>
      <c r="AM74" s="553" t="s">
        <v>825</v>
      </c>
      <c r="AU74" s="220" t="s">
        <v>481</v>
      </c>
      <c r="AV74" s="140" t="s">
        <v>161</v>
      </c>
      <c r="AW74" s="130" t="str">
        <f t="shared" si="29"/>
        <v>ДП VIENTO.4</v>
      </c>
      <c r="AY74" s="220" t="s">
        <v>401</v>
      </c>
      <c r="AZ74" s="129" t="s">
        <v>302</v>
      </c>
      <c r="BA74" s="130" t="str">
        <f t="shared" si="1"/>
        <v>ДП LIANO.6.фальц</v>
      </c>
      <c r="BS74" s="36" t="s">
        <v>430</v>
      </c>
      <c r="BT74" s="44" t="s">
        <v>471</v>
      </c>
      <c r="BU74" s="66" t="str">
        <f t="shared" si="53"/>
        <v>ДП PIANO.2.Стандарт</v>
      </c>
      <c r="BW74" s="56" t="s">
        <v>415</v>
      </c>
      <c r="BX74" s="57" t="s">
        <v>139</v>
      </c>
      <c r="BY74" s="66" t="str">
        <f t="shared" si="17"/>
        <v>ДП BERGAMO.3A.Сатин</v>
      </c>
      <c r="CA74" s="220" t="s">
        <v>1039</v>
      </c>
      <c r="CB74" s="19" t="s">
        <v>1340</v>
      </c>
      <c r="CC74" s="130" t="str">
        <f t="shared" si="57"/>
        <v>ДП BERGAMO.фальц.робоча.Stand цл Лів +3завіс</v>
      </c>
      <c r="CE74" s="511"/>
      <c r="CF74" s="509"/>
      <c r="CG74" s="510"/>
      <c r="CM74" s="40" t="s">
        <v>1843</v>
      </c>
      <c r="CN74" s="239" t="s">
        <v>1585</v>
      </c>
      <c r="CO74" s="131" t="str">
        <f>CONCATENATE(CM74,".",CN74)</f>
        <v>ДП Neapol.фальц.робоча.КД ECO-FIT Plus</v>
      </c>
      <c r="CW74" s="113"/>
      <c r="CY74" s="138" t="s">
        <v>1343</v>
      </c>
      <c r="CZ74" s="129" t="s">
        <v>1156</v>
      </c>
      <c r="DA74" s="130" t="s">
        <v>264</v>
      </c>
      <c r="DD74" s="157" t="s">
        <v>518</v>
      </c>
      <c r="DE74" s="158">
        <v>5470</v>
      </c>
      <c r="DF74" s="490">
        <f t="shared" si="51"/>
        <v>5470</v>
      </c>
      <c r="DG74" s="491"/>
      <c r="DH74" s="492">
        <f t="shared" si="52"/>
        <v>5470</v>
      </c>
      <c r="DP74" s="56" t="s">
        <v>619</v>
      </c>
      <c r="DQ74" s="97">
        <v>0</v>
      </c>
      <c r="DR74" s="503">
        <f t="shared" si="20"/>
        <v>0</v>
      </c>
      <c r="DS74" s="487"/>
      <c r="DT74" s="486">
        <f t="shared" si="21"/>
        <v>0</v>
      </c>
      <c r="DU74" s="158"/>
      <c r="DV74" s="56" t="s">
        <v>1162</v>
      </c>
      <c r="DW74" s="97">
        <v>0</v>
      </c>
      <c r="DX74" s="607">
        <f t="shared" si="55"/>
        <v>0</v>
      </c>
      <c r="DY74" s="487"/>
      <c r="DZ74" s="486">
        <f t="shared" si="56"/>
        <v>0</v>
      </c>
      <c r="EG74" s="157"/>
      <c r="EH74" s="154" t="s">
        <v>1619</v>
      </c>
      <c r="EI74" s="155">
        <v>1</v>
      </c>
      <c r="EJ74" s="504">
        <f>ROUND(((EI74-(EI74/6))/$DD$3)*$DE$3,2)</f>
        <v>1</v>
      </c>
      <c r="EK74" s="496"/>
      <c r="EL74" s="497">
        <f>IF(EK74="",EJ74,
IF(AND($EI$10&gt;=VLOOKUP(EK74,$EH$5:$EL$9,2,0),$EI$10&lt;=VLOOKUP(EK74,$EH$5:$EL$9,3,0)),
(EJ74*(1-VLOOKUP(EK74,$EH$5:$EL$9,4,0))),
EJ74))</f>
        <v>1</v>
      </c>
    </row>
    <row r="75" spans="2:142" x14ac:dyDescent="0.2">
      <c r="B75" s="29"/>
      <c r="C75" s="392" t="s">
        <v>899</v>
      </c>
      <c r="D75" s="395" t="s">
        <v>195</v>
      </c>
      <c r="E75" s="28"/>
      <c r="L75" s="136" t="s">
        <v>421</v>
      </c>
      <c r="M75" s="647" t="s">
        <v>418</v>
      </c>
      <c r="N75" s="85" t="s">
        <v>733</v>
      </c>
      <c r="O75" s="403" t="s">
        <v>195</v>
      </c>
      <c r="Q75" s="54" t="s">
        <v>431</v>
      </c>
      <c r="R75" s="89" t="s">
        <v>56</v>
      </c>
      <c r="S75" s="85" t="s">
        <v>279</v>
      </c>
      <c r="U75" s="146"/>
      <c r="V75" s="143"/>
      <c r="W75" s="151"/>
      <c r="AK75" s="552"/>
      <c r="AL75" s="455"/>
      <c r="AM75" s="553"/>
      <c r="AU75" s="220" t="s">
        <v>481</v>
      </c>
      <c r="AV75" s="140" t="s">
        <v>162</v>
      </c>
      <c r="AW75" s="130" t="str">
        <f t="shared" si="29"/>
        <v>ДП VIENTO.5</v>
      </c>
      <c r="AY75" s="209" t="s">
        <v>401</v>
      </c>
      <c r="AZ75" s="58" t="s">
        <v>303</v>
      </c>
      <c r="BA75" s="131" t="str">
        <f t="shared" si="1"/>
        <v>ДП LIANO.6.купе</v>
      </c>
      <c r="BS75" s="36" t="s">
        <v>431</v>
      </c>
      <c r="BT75" s="44" t="s">
        <v>471</v>
      </c>
      <c r="BU75" s="66" t="str">
        <f t="shared" si="53"/>
        <v>ДП PIANO.3.Стандарт</v>
      </c>
      <c r="BW75" s="56" t="s">
        <v>416</v>
      </c>
      <c r="BX75" s="57" t="s">
        <v>139</v>
      </c>
      <c r="BY75" s="66" t="str">
        <f t="shared" si="17"/>
        <v>ДП BERGAMO.4A.Сатин</v>
      </c>
      <c r="CA75" s="220" t="s">
        <v>1039</v>
      </c>
      <c r="CB75" s="19" t="s">
        <v>1341</v>
      </c>
      <c r="CC75" s="130" t="str">
        <f t="shared" si="57"/>
        <v>ДП BERGAMO.фальц.робоча.Stand цл Пр +3завіс</v>
      </c>
      <c r="CE75" s="217" t="s">
        <v>1045</v>
      </c>
      <c r="CF75" s="129"/>
      <c r="CG75" s="130" t="str">
        <f t="shared" ref="CG75:CG82" si="58">CONCATENATE(CE75,".",CF75)</f>
        <v>ДП PIANO.фальц.робоча.</v>
      </c>
      <c r="CM75" s="40" t="s">
        <v>1844</v>
      </c>
      <c r="CN75" s="58" t="s">
        <v>929</v>
      </c>
      <c r="CO75" s="66" t="str">
        <f>CONCATENATE(CM75,".",CN75)</f>
        <v>ДП Neapol.фальц.неробоча.(ні)</v>
      </c>
      <c r="CR75" s="198"/>
      <c r="CS75" s="205"/>
      <c r="CW75" s="113"/>
      <c r="CY75" s="138" t="s">
        <v>1344</v>
      </c>
      <c r="CZ75" s="129" t="s">
        <v>1156</v>
      </c>
      <c r="DA75" s="130" t="s">
        <v>264</v>
      </c>
      <c r="DD75" s="157" t="s">
        <v>1449</v>
      </c>
      <c r="DE75" s="158">
        <v>6200</v>
      </c>
      <c r="DF75" s="490">
        <f t="shared" si="51"/>
        <v>6200</v>
      </c>
      <c r="DG75" s="491"/>
      <c r="DH75" s="492">
        <f t="shared" si="52"/>
        <v>6200</v>
      </c>
      <c r="DP75" s="56" t="s">
        <v>620</v>
      </c>
      <c r="DQ75" s="97">
        <v>0</v>
      </c>
      <c r="DR75" s="503">
        <f t="shared" si="20"/>
        <v>0</v>
      </c>
      <c r="DS75" s="487"/>
      <c r="DT75" s="486">
        <f t="shared" si="21"/>
        <v>0</v>
      </c>
      <c r="DU75" s="158"/>
      <c r="DV75" s="157" t="s">
        <v>645</v>
      </c>
      <c r="DW75" s="158">
        <v>0</v>
      </c>
      <c r="DX75" s="490">
        <f t="shared" si="55"/>
        <v>0</v>
      </c>
      <c r="DY75" s="491"/>
      <c r="DZ75" s="492">
        <f t="shared" si="56"/>
        <v>0</v>
      </c>
      <c r="EG75" s="157"/>
      <c r="EH75" s="100" t="s">
        <v>1620</v>
      </c>
      <c r="EI75" s="156">
        <v>1610</v>
      </c>
      <c r="EJ75" s="498">
        <f>ROUND(((EI75-(EI75/6))/$DD$3)*$DE$3,2)</f>
        <v>1610</v>
      </c>
      <c r="EK75" s="493"/>
      <c r="EL75" s="494">
        <f>IF(EK75="",EJ75,
IF(AND($EI$10&gt;=VLOOKUP(EK75,$EH$5:$EL$9,2,0),$EI$10&lt;=VLOOKUP(EK75,$EH$5:$EL$9,3,0)),
(EJ75*(1-VLOOKUP(EK75,$EH$5:$EL$9,4,0))),
EJ75))</f>
        <v>1610</v>
      </c>
    </row>
    <row r="76" spans="2:142" x14ac:dyDescent="0.2">
      <c r="B76" s="29"/>
      <c r="C76" s="392" t="s">
        <v>900</v>
      </c>
      <c r="D76" s="395" t="s">
        <v>195</v>
      </c>
      <c r="E76" s="28"/>
      <c r="L76" s="54" t="s">
        <v>422</v>
      </c>
      <c r="M76" s="647" t="s">
        <v>418</v>
      </c>
      <c r="N76" s="85" t="s">
        <v>733</v>
      </c>
      <c r="O76" s="403" t="s">
        <v>195</v>
      </c>
      <c r="Q76" s="54"/>
      <c r="R76" s="89"/>
      <c r="S76" s="85"/>
      <c r="U76" s="145" t="s">
        <v>1659</v>
      </c>
      <c r="V76" s="93" t="s">
        <v>81</v>
      </c>
      <c r="W76" s="92" t="s">
        <v>776</v>
      </c>
      <c r="AK76" s="543"/>
      <c r="AL76" s="456"/>
      <c r="AM76" s="544"/>
      <c r="AU76" s="220" t="s">
        <v>481</v>
      </c>
      <c r="AV76" s="140" t="s">
        <v>462</v>
      </c>
      <c r="AW76" s="130" t="str">
        <f t="shared" si="29"/>
        <v>ДП VIENTO.1A</v>
      </c>
      <c r="AY76" s="220" t="s">
        <v>402</v>
      </c>
      <c r="AZ76" s="129" t="s">
        <v>302</v>
      </c>
      <c r="BA76" s="130" t="str">
        <f t="shared" si="1"/>
        <v>ДП LIANO.1A.фальц</v>
      </c>
      <c r="BS76" s="412"/>
      <c r="BT76" s="207"/>
      <c r="BU76" s="208"/>
      <c r="BW76" s="208"/>
      <c r="BX76" s="208"/>
      <c r="BY76" s="208"/>
      <c r="CA76" s="220" t="s">
        <v>1039</v>
      </c>
      <c r="CC76" s="130"/>
      <c r="CE76" s="220" t="s">
        <v>1045</v>
      </c>
      <c r="CF76" s="129" t="s">
        <v>953</v>
      </c>
      <c r="CG76" s="130" t="str">
        <f t="shared" si="58"/>
        <v>ДП PIANO.фальц.робоча.ВВ</v>
      </c>
      <c r="CM76" s="36" t="s">
        <v>1845</v>
      </c>
      <c r="CN76" s="52" t="s">
        <v>367</v>
      </c>
      <c r="CO76" s="66" t="str">
        <f>CONCATENATE(CM76,".",CN76)</f>
        <v>ДП Neapol.купе.робоча.КД ECO-FIT</v>
      </c>
      <c r="CR76" s="198"/>
      <c r="CS76" s="205"/>
      <c r="CW76" s="113"/>
      <c r="CY76" s="138" t="s">
        <v>1345</v>
      </c>
      <c r="CZ76" s="129" t="s">
        <v>1156</v>
      </c>
      <c r="DA76" s="130" t="s">
        <v>264</v>
      </c>
      <c r="DD76" s="157" t="s">
        <v>519</v>
      </c>
      <c r="DE76" s="158">
        <v>5470</v>
      </c>
      <c r="DF76" s="490">
        <f t="shared" si="51"/>
        <v>5470</v>
      </c>
      <c r="DG76" s="491"/>
      <c r="DH76" s="492">
        <f t="shared" si="52"/>
        <v>5470</v>
      </c>
      <c r="DP76" s="241"/>
      <c r="DQ76" s="242"/>
      <c r="DR76" s="489"/>
      <c r="DS76" s="499"/>
      <c r="DT76" s="244"/>
      <c r="DU76" s="158"/>
      <c r="DV76" s="100" t="s">
        <v>646</v>
      </c>
      <c r="DW76" s="156">
        <v>640</v>
      </c>
      <c r="DX76" s="498">
        <f t="shared" si="55"/>
        <v>640</v>
      </c>
      <c r="DY76" s="493"/>
      <c r="DZ76" s="494">
        <f t="shared" si="56"/>
        <v>640</v>
      </c>
      <c r="EG76" s="157"/>
      <c r="EH76" s="100" t="s">
        <v>1621</v>
      </c>
      <c r="EI76" s="156">
        <v>1970</v>
      </c>
      <c r="EJ76" s="498">
        <f>ROUND(((EI76-(EI76/6))/$DD$3)*$DE$3,2)</f>
        <v>1970</v>
      </c>
      <c r="EK76" s="493"/>
      <c r="EL76" s="494">
        <f>IF(EK76="",EJ76,
IF(AND($EI$10&gt;=VLOOKUP(EK76,$EH$5:$EL$9,2,0),$EI$10&lt;=VLOOKUP(EK76,$EH$5:$EL$9,3,0)),
(EJ76*(1-VLOOKUP(EK76,$EH$5:$EL$9,4,0))),
EJ76))</f>
        <v>1970</v>
      </c>
    </row>
    <row r="77" spans="2:142" x14ac:dyDescent="0.2">
      <c r="B77" s="29"/>
      <c r="C77" s="392"/>
      <c r="D77" s="395"/>
      <c r="E77" s="28"/>
      <c r="L77" s="54" t="s">
        <v>423</v>
      </c>
      <c r="M77" s="647" t="s">
        <v>418</v>
      </c>
      <c r="N77" s="85" t="s">
        <v>733</v>
      </c>
      <c r="O77" s="403" t="s">
        <v>195</v>
      </c>
      <c r="Q77" s="54" t="s">
        <v>1744</v>
      </c>
      <c r="R77" s="89" t="s">
        <v>54</v>
      </c>
      <c r="S77" s="85" t="s">
        <v>277</v>
      </c>
      <c r="U77" s="146" t="s">
        <v>1660</v>
      </c>
      <c r="V77" s="143" t="s">
        <v>82</v>
      </c>
      <c r="W77" s="151" t="s">
        <v>777</v>
      </c>
      <c r="AK77" s="543"/>
      <c r="AL77" s="456"/>
      <c r="AM77" s="544"/>
      <c r="AU77" s="209" t="s">
        <v>481</v>
      </c>
      <c r="AV77" s="141" t="s">
        <v>464</v>
      </c>
      <c r="AW77" s="131" t="str">
        <f t="shared" si="29"/>
        <v>ДП VIENTO.2A</v>
      </c>
      <c r="AY77" s="209" t="s">
        <v>402</v>
      </c>
      <c r="AZ77" s="58" t="s">
        <v>303</v>
      </c>
      <c r="BA77" s="131" t="str">
        <f t="shared" si="1"/>
        <v>ДП LIANO.1A.купе</v>
      </c>
      <c r="BS77" s="36" t="s">
        <v>1744</v>
      </c>
      <c r="BT77" s="44" t="s">
        <v>471</v>
      </c>
      <c r="BU77" s="66" t="str">
        <f t="shared" si="53"/>
        <v>ДП Viva.1.Стандарт</v>
      </c>
      <c r="BW77" s="56" t="s">
        <v>417</v>
      </c>
      <c r="BX77" s="57" t="s">
        <v>929</v>
      </c>
      <c r="BY77" s="66" t="str">
        <f t="shared" si="17"/>
        <v>ДП GRANDE.1.(ні)</v>
      </c>
      <c r="CA77" s="220" t="s">
        <v>1039</v>
      </c>
      <c r="CB77" s="19" t="s">
        <v>1344</v>
      </c>
      <c r="CC77" s="130" t="str">
        <f t="shared" si="57"/>
        <v>ДП BERGAMO.фальц.робоча.Stand ст Лів +3завіс</v>
      </c>
      <c r="CE77" s="209" t="s">
        <v>1045</v>
      </c>
      <c r="CF77" s="58" t="s">
        <v>198</v>
      </c>
      <c r="CG77" s="131" t="str">
        <f t="shared" si="58"/>
        <v>ДП PIANO.фальц.робоча.ВП</v>
      </c>
      <c r="CR77" s="198"/>
      <c r="CS77" s="205"/>
      <c r="CW77" s="113"/>
      <c r="CX77" s="20"/>
      <c r="CY77" s="137" t="s">
        <v>1156</v>
      </c>
      <c r="CZ77" s="126"/>
      <c r="DA77" s="127" t="s">
        <v>264</v>
      </c>
      <c r="DB77" s="20"/>
      <c r="DD77" s="157" t="s">
        <v>1450</v>
      </c>
      <c r="DE77" s="158">
        <v>6200</v>
      </c>
      <c r="DF77" s="490">
        <f t="shared" si="51"/>
        <v>6200</v>
      </c>
      <c r="DG77" s="491"/>
      <c r="DH77" s="492">
        <f t="shared" si="52"/>
        <v>6200</v>
      </c>
      <c r="DP77" s="56" t="s">
        <v>945</v>
      </c>
      <c r="DQ77" s="97">
        <v>0</v>
      </c>
      <c r="DR77" s="503">
        <f t="shared" ref="DR77:DR121" si="59">ROUND(((DQ77-(DQ77/6))/$DD$3)*$DE$3,2)</f>
        <v>0</v>
      </c>
      <c r="DS77" s="487"/>
      <c r="DT77" s="486">
        <f t="shared" ref="DT77:DT121" si="60">IF(DS77="",DR77,
IF(AND($DQ$10&gt;=VLOOKUP(DS77,$DP$5:$DT$9,2,0),$DQ$10&lt;=VLOOKUP(DS77,$DP$5:$DT$9,3,0)),
(DR77*(1-VLOOKUP(DS77,$DP$5:$DT$9,4,0))),
DR77))</f>
        <v>0</v>
      </c>
      <c r="DU77" s="158"/>
      <c r="DV77" s="600"/>
      <c r="DW77" s="601"/>
      <c r="DX77" s="604"/>
      <c r="DY77" s="605"/>
      <c r="DZ77" s="606"/>
      <c r="EG77" s="157"/>
      <c r="EH77" s="505"/>
      <c r="EI77" s="506"/>
      <c r="EJ77" s="609"/>
      <c r="EK77" s="610"/>
      <c r="EL77" s="611"/>
    </row>
    <row r="78" spans="2:142" x14ac:dyDescent="0.2">
      <c r="B78" s="29"/>
      <c r="C78" s="392" t="s">
        <v>901</v>
      </c>
      <c r="D78" s="395" t="s">
        <v>195</v>
      </c>
      <c r="E78" s="28"/>
      <c r="L78" s="54" t="s">
        <v>424</v>
      </c>
      <c r="M78" s="647" t="s">
        <v>418</v>
      </c>
      <c r="N78" s="85" t="s">
        <v>733</v>
      </c>
      <c r="O78" s="403" t="s">
        <v>195</v>
      </c>
      <c r="Q78" s="54" t="s">
        <v>1747</v>
      </c>
      <c r="R78" s="89" t="s">
        <v>55</v>
      </c>
      <c r="S78" s="85" t="s">
        <v>278</v>
      </c>
      <c r="U78" s="146" t="s">
        <v>1661</v>
      </c>
      <c r="V78" s="143" t="s">
        <v>83</v>
      </c>
      <c r="W78" s="151" t="s">
        <v>778</v>
      </c>
      <c r="AK78" s="562"/>
      <c r="AL78" s="563"/>
      <c r="AM78" s="564"/>
      <c r="AU78" s="209" t="s">
        <v>1735</v>
      </c>
      <c r="AV78" s="140" t="s">
        <v>164</v>
      </c>
      <c r="AW78" s="130" t="str">
        <f>CONCATENATE(AU78,".",AV78)</f>
        <v>ДП NEAPOL.1</v>
      </c>
      <c r="AY78" s="220" t="s">
        <v>403</v>
      </c>
      <c r="AZ78" s="129" t="s">
        <v>302</v>
      </c>
      <c r="BA78" s="130" t="str">
        <f t="shared" si="1"/>
        <v>ДП LIANO.2A.фальц</v>
      </c>
      <c r="BS78" s="36" t="s">
        <v>1747</v>
      </c>
      <c r="BT78" s="44" t="s">
        <v>471</v>
      </c>
      <c r="BU78" s="66" t="str">
        <f t="shared" si="53"/>
        <v>ДП Viva.2.Стандарт</v>
      </c>
      <c r="BW78" s="56" t="s">
        <v>419</v>
      </c>
      <c r="BX78" s="57" t="s">
        <v>139</v>
      </c>
      <c r="BY78" s="66" t="str">
        <f t="shared" si="17"/>
        <v>ДП GRANDE.2.Сатин</v>
      </c>
      <c r="CA78" s="220" t="s">
        <v>1039</v>
      </c>
      <c r="CB78" s="19" t="s">
        <v>1345</v>
      </c>
      <c r="CC78" s="130" t="str">
        <f t="shared" si="57"/>
        <v>ДП BERGAMO.фальц.робоча.Stand ст Пр +3завіс</v>
      </c>
      <c r="CE78" s="217" t="s">
        <v>1046</v>
      </c>
      <c r="CF78" s="129"/>
      <c r="CG78" s="130" t="str">
        <f t="shared" si="58"/>
        <v>ДП PIANO.фальц.неробоча.</v>
      </c>
      <c r="CR78" s="198"/>
      <c r="CS78" s="205"/>
      <c r="CW78" s="113"/>
      <c r="CX78" s="20"/>
      <c r="CY78" s="146" t="s">
        <v>1163</v>
      </c>
      <c r="CZ78" s="129"/>
      <c r="DA78" s="130" t="s">
        <v>264</v>
      </c>
      <c r="DB78" s="20"/>
      <c r="DD78" s="157" t="s">
        <v>520</v>
      </c>
      <c r="DE78" s="158">
        <v>5470</v>
      </c>
      <c r="DF78" s="490">
        <f t="shared" si="51"/>
        <v>5470</v>
      </c>
      <c r="DG78" s="491"/>
      <c r="DH78" s="492">
        <f t="shared" si="52"/>
        <v>5470</v>
      </c>
      <c r="DP78" s="56" t="s">
        <v>621</v>
      </c>
      <c r="DQ78" s="97">
        <v>0</v>
      </c>
      <c r="DR78" s="503">
        <f t="shared" si="59"/>
        <v>0</v>
      </c>
      <c r="DS78" s="487"/>
      <c r="DT78" s="486">
        <f t="shared" si="60"/>
        <v>0</v>
      </c>
      <c r="DU78" s="158"/>
      <c r="DV78" s="56" t="s">
        <v>942</v>
      </c>
      <c r="DW78" s="97">
        <v>0</v>
      </c>
      <c r="DX78" s="388">
        <f t="shared" ref="DX78:DX87" si="61">ROUND(((DW78-(DW78/6))/$DD$3)*$DE$3,2)</f>
        <v>0</v>
      </c>
      <c r="DY78" s="487"/>
      <c r="DZ78" s="486">
        <f t="shared" ref="DZ78:DZ87" si="62">IF(DY78="",DX78,
IF(AND($DW$10&gt;=VLOOKUP(DY78,$DV$5:$DZ$9,2,0),$DW$10&lt;=VLOOKUP(DY78,$DV$5:$DZ$9,3,0)),
(DX78*(1-VLOOKUP(DY78,$DV$5:$DZ$9,4,0))),
DX78))</f>
        <v>0</v>
      </c>
      <c r="EG78" s="157"/>
      <c r="EH78" s="154" t="s">
        <v>1622</v>
      </c>
      <c r="EI78" s="155">
        <v>0</v>
      </c>
      <c r="EJ78" s="504">
        <f>ROUND(((EI78-(EI78/6))/$DD$3)*$DE$3,2)</f>
        <v>0</v>
      </c>
      <c r="EK78" s="496"/>
      <c r="EL78" s="497">
        <f>IF(EK78="",EJ78,
IF(AND($EI$10&gt;=VLOOKUP(EK78,$EH$5:$EL$9,2,0),$EI$10&lt;=VLOOKUP(EK78,$EH$5:$EL$9,3,0)),
(EJ78*(1-VLOOKUP(EK78,$EH$5:$EL$9,4,0))),
EJ78))</f>
        <v>0</v>
      </c>
    </row>
    <row r="79" spans="2:142" x14ac:dyDescent="0.2">
      <c r="B79" s="29"/>
      <c r="C79" s="392" t="s">
        <v>902</v>
      </c>
      <c r="D79" s="395" t="s">
        <v>195</v>
      </c>
      <c r="E79" s="28"/>
      <c r="L79" s="54" t="s">
        <v>425</v>
      </c>
      <c r="M79" s="647" t="s">
        <v>418</v>
      </c>
      <c r="N79" s="85" t="s">
        <v>733</v>
      </c>
      <c r="O79" s="403" t="s">
        <v>195</v>
      </c>
      <c r="Q79" s="54"/>
      <c r="R79" s="89"/>
      <c r="S79" s="85"/>
      <c r="U79" s="146" t="s">
        <v>1662</v>
      </c>
      <c r="V79" s="143" t="s">
        <v>84</v>
      </c>
      <c r="W79" s="151" t="s">
        <v>779</v>
      </c>
      <c r="AK79" s="45"/>
      <c r="AL79" s="89"/>
      <c r="AM79" s="85"/>
      <c r="AU79" s="209" t="s">
        <v>1735</v>
      </c>
      <c r="AV79" s="140" t="s">
        <v>165</v>
      </c>
      <c r="AW79" s="130" t="str">
        <f>CONCATENATE(AU79,".",AV79)</f>
        <v>ДП NEAPOL.2</v>
      </c>
      <c r="AY79" s="209" t="s">
        <v>403</v>
      </c>
      <c r="AZ79" s="58" t="s">
        <v>303</v>
      </c>
      <c r="BA79" s="131" t="str">
        <f t="shared" si="1"/>
        <v>ДП LIANO.2A.купе</v>
      </c>
      <c r="BS79" s="412"/>
      <c r="BT79" s="207"/>
      <c r="BU79" s="208"/>
      <c r="BW79" s="56" t="s">
        <v>419</v>
      </c>
      <c r="BX79" s="57" t="s">
        <v>1546</v>
      </c>
      <c r="BY79" s="66" t="str">
        <f>CONCATENATE(BW79,".",BX79)</f>
        <v>ДП GRANDE.2.Лакобель</v>
      </c>
      <c r="CA79" s="217" t="s">
        <v>1040</v>
      </c>
      <c r="CB79" s="126" t="s">
        <v>929</v>
      </c>
      <c r="CC79" s="127" t="str">
        <f t="shared" si="57"/>
        <v>ДП BERGAMO.фальц.неробоча.(ні)</v>
      </c>
      <c r="CE79" s="220" t="s">
        <v>1046</v>
      </c>
      <c r="CF79" s="129" t="s">
        <v>953</v>
      </c>
      <c r="CG79" s="130" t="str">
        <f t="shared" si="58"/>
        <v>ДП PIANO.фальц.неробоча.ВВ</v>
      </c>
      <c r="CR79" s="198"/>
      <c r="CS79" s="205"/>
      <c r="CW79" s="113"/>
      <c r="CX79" s="20"/>
      <c r="CY79" s="147" t="s">
        <v>1164</v>
      </c>
      <c r="CZ79" s="58"/>
      <c r="DA79" s="131" t="s">
        <v>264</v>
      </c>
      <c r="DB79" s="20"/>
      <c r="DD79" s="157" t="s">
        <v>1451</v>
      </c>
      <c r="DE79" s="158">
        <v>6200</v>
      </c>
      <c r="DF79" s="490">
        <f t="shared" si="51"/>
        <v>6200</v>
      </c>
      <c r="DG79" s="491"/>
      <c r="DH79" s="492">
        <f t="shared" si="52"/>
        <v>6200</v>
      </c>
      <c r="DP79" s="56" t="s">
        <v>1561</v>
      </c>
      <c r="DQ79" s="97">
        <v>520</v>
      </c>
      <c r="DR79" s="503">
        <f>ROUND(((DQ79-(DQ79/6))/$DD$3)*$DE$3,2)</f>
        <v>520</v>
      </c>
      <c r="DS79" s="487"/>
      <c r="DT79" s="486">
        <f>IF(DS79="",DR79,
IF(AND($DQ$10&gt;=VLOOKUP(DS79,$DP$5:$DT$9,2,0),$DQ$10&lt;=VLOOKUP(DS79,$DP$5:$DT$9,3,0)),
(DR79*(1-VLOOKUP(DS79,$DP$5:$DT$9,4,0))),
DR79))</f>
        <v>520</v>
      </c>
      <c r="DU79" s="158"/>
      <c r="DV79" s="154" t="s">
        <v>1370</v>
      </c>
      <c r="DW79" s="155">
        <v>0</v>
      </c>
      <c r="DX79" s="495">
        <f t="shared" si="61"/>
        <v>0</v>
      </c>
      <c r="DY79" s="496"/>
      <c r="DZ79" s="497">
        <f t="shared" si="62"/>
        <v>0</v>
      </c>
      <c r="EG79" s="157"/>
      <c r="EH79" s="154" t="s">
        <v>1623</v>
      </c>
      <c r="EI79" s="155">
        <v>0</v>
      </c>
      <c r="EJ79" s="504">
        <f>ROUND(((EI79-(EI79/6))/$DD$3)*$DE$3,2)</f>
        <v>0</v>
      </c>
      <c r="EK79" s="496"/>
      <c r="EL79" s="497">
        <f>IF(EK79="",EJ79,
IF(AND($EI$10&gt;=VLOOKUP(EK79,$EH$5:$EL$9,2,0),$EI$10&lt;=VLOOKUP(EK79,$EH$5:$EL$9,3,0)),
(EJ79*(1-VLOOKUP(EK79,$EH$5:$EL$9,4,0))),
EJ79))</f>
        <v>0</v>
      </c>
    </row>
    <row r="80" spans="2:142" x14ac:dyDescent="0.2">
      <c r="B80" s="29"/>
      <c r="C80" s="392" t="s">
        <v>903</v>
      </c>
      <c r="D80" s="395" t="s">
        <v>195</v>
      </c>
      <c r="E80" s="28"/>
      <c r="L80" s="54" t="s">
        <v>426</v>
      </c>
      <c r="M80" s="44" t="s">
        <v>418</v>
      </c>
      <c r="N80" s="85" t="s">
        <v>733</v>
      </c>
      <c r="O80" s="403" t="s">
        <v>195</v>
      </c>
      <c r="Q80" s="54" t="s">
        <v>432</v>
      </c>
      <c r="R80" s="89" t="s">
        <v>54</v>
      </c>
      <c r="S80" s="85" t="s">
        <v>277</v>
      </c>
      <c r="U80" s="146" t="s">
        <v>1663</v>
      </c>
      <c r="V80" s="143" t="s">
        <v>85</v>
      </c>
      <c r="W80" s="151" t="s">
        <v>780</v>
      </c>
      <c r="AK80" s="45"/>
      <c r="AL80" s="89"/>
      <c r="AM80" s="85"/>
      <c r="AU80" s="654"/>
      <c r="AV80" s="655"/>
      <c r="AW80" s="656"/>
      <c r="AY80" s="220" t="s">
        <v>404</v>
      </c>
      <c r="AZ80" s="129" t="s">
        <v>302</v>
      </c>
      <c r="BA80" s="130" t="str">
        <f t="shared" si="1"/>
        <v>ДП LIANO.3A.фальц</v>
      </c>
      <c r="BS80" s="36" t="s">
        <v>432</v>
      </c>
      <c r="BT80" s="44" t="s">
        <v>471</v>
      </c>
      <c r="BU80" s="66" t="str">
        <f t="shared" si="53"/>
        <v>ДП VIENTO.1.Стандарт</v>
      </c>
      <c r="BW80" s="56" t="s">
        <v>420</v>
      </c>
      <c r="BX80" s="57" t="s">
        <v>139</v>
      </c>
      <c r="BY80" s="66" t="str">
        <f t="shared" si="17"/>
        <v>ДП GRANDE.3.Сатин</v>
      </c>
      <c r="CA80" s="220" t="s">
        <v>1040</v>
      </c>
      <c r="CB80" s="19" t="s">
        <v>1156</v>
      </c>
      <c r="CC80" s="130" t="str">
        <f t="shared" si="57"/>
        <v>ДП BERGAMO.фальц.неробоча.Пл Stand +3завіс</v>
      </c>
      <c r="CE80" s="209" t="s">
        <v>1046</v>
      </c>
      <c r="CF80" s="58" t="s">
        <v>198</v>
      </c>
      <c r="CG80" s="131" t="str">
        <f t="shared" si="58"/>
        <v>ДП PIANO.фальц.неробоча.ВП</v>
      </c>
      <c r="CX80" s="20"/>
      <c r="CY80" s="146" t="s">
        <v>140</v>
      </c>
      <c r="CZ80" s="129" t="s">
        <v>929</v>
      </c>
      <c r="DA80" s="130" t="s">
        <v>264</v>
      </c>
      <c r="DB80" s="20"/>
      <c r="DD80" s="157" t="s">
        <v>521</v>
      </c>
      <c r="DE80" s="158">
        <v>5470</v>
      </c>
      <c r="DF80" s="490">
        <f t="shared" si="51"/>
        <v>5470</v>
      </c>
      <c r="DG80" s="491"/>
      <c r="DH80" s="492">
        <f t="shared" si="52"/>
        <v>5470</v>
      </c>
      <c r="DP80" s="56" t="s">
        <v>622</v>
      </c>
      <c r="DQ80" s="97">
        <v>0</v>
      </c>
      <c r="DR80" s="503">
        <f t="shared" si="59"/>
        <v>0</v>
      </c>
      <c r="DS80" s="487"/>
      <c r="DT80" s="486">
        <f t="shared" si="60"/>
        <v>0</v>
      </c>
      <c r="DU80" s="158"/>
      <c r="DV80" s="154" t="s">
        <v>1371</v>
      </c>
      <c r="DW80" s="158">
        <v>0</v>
      </c>
      <c r="DX80" s="490">
        <f>ROUND(((DW80-(DW80/6))/$DD$3)*$DE$3,2)</f>
        <v>0</v>
      </c>
      <c r="DY80" s="491"/>
      <c r="DZ80" s="492">
        <f>IF(DY80="",DX80,
IF(AND($DW$10&gt;=VLOOKUP(DY80,$DV$5:$DZ$9,2,0),$DW$10&lt;=VLOOKUP(DY80,$DV$5:$DZ$9,3,0)),
(DX80*(1-VLOOKUP(DY80,$DV$5:$DZ$9,4,0))),
DX80))</f>
        <v>0</v>
      </c>
      <c r="EG80" s="157"/>
      <c r="EH80" s="100" t="s">
        <v>1624</v>
      </c>
      <c r="EI80" s="156">
        <v>1670</v>
      </c>
      <c r="EJ80" s="498">
        <f>ROUND(((EI80-(EI80/6))/$DD$3)*$DE$3,2)</f>
        <v>1670</v>
      </c>
      <c r="EK80" s="493"/>
      <c r="EL80" s="494">
        <f>IF(EK80="",EJ80,
IF(AND($EI$10&gt;=VLOOKUP(EK80,$EH$5:$EL$9,2,0),$EI$10&lt;=VLOOKUP(EK80,$EH$5:$EL$9,3,0)),
(EJ80*(1-VLOOKUP(EK80,$EH$5:$EL$9,4,0))),
EJ80))</f>
        <v>1670</v>
      </c>
    </row>
    <row r="81" spans="2:142" x14ac:dyDescent="0.2">
      <c r="B81" s="29"/>
      <c r="C81" s="392"/>
      <c r="D81" s="395"/>
      <c r="E81" s="28"/>
      <c r="L81" s="54" t="s">
        <v>427</v>
      </c>
      <c r="M81" s="44" t="s">
        <v>418</v>
      </c>
      <c r="N81" s="85" t="s">
        <v>733</v>
      </c>
      <c r="O81" s="403" t="s">
        <v>195</v>
      </c>
      <c r="Q81" s="54" t="s">
        <v>434</v>
      </c>
      <c r="R81" s="89" t="s">
        <v>55</v>
      </c>
      <c r="S81" s="85" t="s">
        <v>278</v>
      </c>
      <c r="U81" s="146" t="s">
        <v>1664</v>
      </c>
      <c r="V81" s="143" t="s">
        <v>26</v>
      </c>
      <c r="W81" s="151" t="s">
        <v>973</v>
      </c>
      <c r="AK81" s="45"/>
      <c r="AL81" s="89"/>
      <c r="AM81" s="85"/>
      <c r="AU81" s="209" t="s">
        <v>366</v>
      </c>
      <c r="AV81" s="141" t="s">
        <v>164</v>
      </c>
      <c r="AW81" s="131" t="str">
        <f t="shared" si="29"/>
        <v>КД Classic.1</v>
      </c>
      <c r="AY81" s="209" t="s">
        <v>404</v>
      </c>
      <c r="AZ81" s="58" t="s">
        <v>303</v>
      </c>
      <c r="BA81" s="131" t="str">
        <f t="shared" si="1"/>
        <v>ДП LIANO.3A.купе</v>
      </c>
      <c r="BS81" s="36" t="s">
        <v>434</v>
      </c>
      <c r="BT81" s="44" t="s">
        <v>471</v>
      </c>
      <c r="BU81" s="66" t="str">
        <f t="shared" si="53"/>
        <v>ДП VIENTO.2.Стандарт</v>
      </c>
      <c r="BW81" s="56" t="s">
        <v>420</v>
      </c>
      <c r="BX81" s="57" t="s">
        <v>1546</v>
      </c>
      <c r="BY81" s="66" t="str">
        <f>CONCATENATE(BW81,".",BX81)</f>
        <v>ДП GRANDE.3.Лакобель</v>
      </c>
      <c r="CA81" s="217" t="s">
        <v>1041</v>
      </c>
      <c r="CB81" s="126" t="s">
        <v>929</v>
      </c>
      <c r="CC81" s="127" t="str">
        <f t="shared" si="57"/>
        <v>ДП BERGAMO.купе.робоча.(ні)</v>
      </c>
      <c r="CE81" s="217" t="s">
        <v>1047</v>
      </c>
      <c r="CF81" s="129"/>
      <c r="CG81" s="130" t="str">
        <f t="shared" si="58"/>
        <v>ДП PIANO.купе.робоча.</v>
      </c>
      <c r="CX81" s="20"/>
      <c r="CY81" s="147" t="s">
        <v>192</v>
      </c>
      <c r="CZ81" s="58" t="s">
        <v>929</v>
      </c>
      <c r="DA81" s="131" t="s">
        <v>264</v>
      </c>
      <c r="DB81" s="20"/>
      <c r="DD81" s="157" t="s">
        <v>1452</v>
      </c>
      <c r="DE81" s="158">
        <v>6200</v>
      </c>
      <c r="DF81" s="490">
        <f t="shared" si="51"/>
        <v>6200</v>
      </c>
      <c r="DG81" s="491"/>
      <c r="DH81" s="492">
        <f t="shared" si="52"/>
        <v>6200</v>
      </c>
      <c r="DP81" s="56" t="s">
        <v>1562</v>
      </c>
      <c r="DQ81" s="97">
        <v>520</v>
      </c>
      <c r="DR81" s="503">
        <f>ROUND(((DQ81-(DQ81/6))/$DD$3)*$DE$3,2)</f>
        <v>520</v>
      </c>
      <c r="DS81" s="487"/>
      <c r="DT81" s="486">
        <f>IF(DS81="",DR81,
IF(AND($DQ$10&gt;=VLOOKUP(DS81,$DP$5:$DT$9,2,0),$DQ$10&lt;=VLOOKUP(DS81,$DP$5:$DT$9,3,0)),
(DR81*(1-VLOOKUP(DS81,$DP$5:$DT$9,4,0))),
DR81))</f>
        <v>520</v>
      </c>
      <c r="DU81" s="158"/>
      <c r="DV81" s="157" t="s">
        <v>1372</v>
      </c>
      <c r="DW81" s="158">
        <v>0</v>
      </c>
      <c r="DX81" s="490">
        <f t="shared" si="61"/>
        <v>0</v>
      </c>
      <c r="DY81" s="491"/>
      <c r="DZ81" s="492">
        <f t="shared" si="62"/>
        <v>0</v>
      </c>
      <c r="EG81" s="157"/>
      <c r="EH81" s="100" t="s">
        <v>1625</v>
      </c>
      <c r="EI81" s="156">
        <v>2010</v>
      </c>
      <c r="EJ81" s="498">
        <f>ROUND(((EI81-(EI81/6))/$DD$3)*$DE$3,2)</f>
        <v>2010</v>
      </c>
      <c r="EK81" s="493"/>
      <c r="EL81" s="494">
        <f>IF(EK81="",EJ81,
IF(AND($EI$10&gt;=VLOOKUP(EK81,$EH$5:$EL$9,2,0),$EI$10&lt;=VLOOKUP(EK81,$EH$5:$EL$9,3,0)),
(EJ81*(1-VLOOKUP(EK81,$EH$5:$EL$9,4,0))),
EJ81))</f>
        <v>2010</v>
      </c>
    </row>
    <row r="82" spans="2:142" x14ac:dyDescent="0.2">
      <c r="B82" s="29"/>
      <c r="C82" s="392" t="s">
        <v>904</v>
      </c>
      <c r="D82" s="395" t="s">
        <v>195</v>
      </c>
      <c r="E82" s="28"/>
      <c r="L82" s="54"/>
      <c r="M82" s="44"/>
      <c r="N82" s="85"/>
      <c r="O82" s="403"/>
      <c r="Q82" s="54" t="s">
        <v>435</v>
      </c>
      <c r="R82" s="89" t="s">
        <v>56</v>
      </c>
      <c r="S82" s="85" t="s">
        <v>279</v>
      </c>
      <c r="U82" s="146" t="s">
        <v>1665</v>
      </c>
      <c r="V82" s="143" t="s">
        <v>27</v>
      </c>
      <c r="W82" s="151" t="s">
        <v>974</v>
      </c>
      <c r="AK82" s="45"/>
      <c r="AL82" s="89"/>
      <c r="AM82" s="85"/>
      <c r="AU82" s="220" t="s">
        <v>367</v>
      </c>
      <c r="AV82" s="140" t="s">
        <v>147</v>
      </c>
      <c r="AW82" s="130" t="str">
        <f t="shared" si="29"/>
        <v>КД ECO-FIT.A</v>
      </c>
      <c r="AY82" s="220" t="s">
        <v>405</v>
      </c>
      <c r="AZ82" s="129" t="s">
        <v>302</v>
      </c>
      <c r="BA82" s="130" t="str">
        <f t="shared" si="1"/>
        <v>ДП LIANO.4A.фальц</v>
      </c>
      <c r="BS82" s="36" t="s">
        <v>435</v>
      </c>
      <c r="BT82" s="44" t="s">
        <v>471</v>
      </c>
      <c r="BU82" s="66" t="str">
        <f t="shared" si="53"/>
        <v>ДП VIENTO.3.Стандарт</v>
      </c>
      <c r="BW82" s="56" t="s">
        <v>421</v>
      </c>
      <c r="BX82" s="57" t="s">
        <v>139</v>
      </c>
      <c r="BY82" s="66" t="str">
        <f t="shared" si="17"/>
        <v>ДП GRANDE.4.Сатин</v>
      </c>
      <c r="CA82" s="220" t="s">
        <v>1041</v>
      </c>
      <c r="CB82" s="129" t="s">
        <v>140</v>
      </c>
      <c r="CC82" s="130" t="str">
        <f t="shared" si="57"/>
        <v>ДП BERGAMO.купе.робоча.Ручка-Захват</v>
      </c>
      <c r="CE82" s="220" t="s">
        <v>1047</v>
      </c>
      <c r="CF82" s="58" t="s">
        <v>953</v>
      </c>
      <c r="CG82" s="131" t="str">
        <f t="shared" si="58"/>
        <v>ДП PIANO.купе.робоча.ВВ</v>
      </c>
      <c r="CX82" s="20"/>
      <c r="CY82" s="458"/>
      <c r="CZ82" s="459"/>
      <c r="DA82" s="460"/>
      <c r="DB82" s="20"/>
      <c r="DD82" s="157" t="s">
        <v>522</v>
      </c>
      <c r="DE82" s="158">
        <v>5470</v>
      </c>
      <c r="DF82" s="490">
        <f t="shared" si="51"/>
        <v>5470</v>
      </c>
      <c r="DG82" s="491"/>
      <c r="DH82" s="492">
        <f t="shared" si="52"/>
        <v>5470</v>
      </c>
      <c r="DP82" s="56" t="s">
        <v>623</v>
      </c>
      <c r="DQ82" s="97">
        <v>0</v>
      </c>
      <c r="DR82" s="503">
        <f t="shared" si="59"/>
        <v>0</v>
      </c>
      <c r="DS82" s="487"/>
      <c r="DT82" s="486">
        <f t="shared" si="60"/>
        <v>0</v>
      </c>
      <c r="DU82" s="158"/>
      <c r="DV82" s="157" t="s">
        <v>1373</v>
      </c>
      <c r="DW82" s="158">
        <v>0</v>
      </c>
      <c r="DX82" s="490">
        <f>ROUND(((DW82-(DW82/6))/$DD$3)*$DE$3,2)</f>
        <v>0</v>
      </c>
      <c r="DY82" s="491"/>
      <c r="DZ82" s="492">
        <f>IF(DY82="",DX82,
IF(AND($DW$10&gt;=VLOOKUP(DY82,$DV$5:$DZ$9,2,0),$DW$10&lt;=VLOOKUP(DY82,$DV$5:$DZ$9,3,0)),
(DX82*(1-VLOOKUP(DY82,$DV$5:$DZ$9,4,0))),
DX82))</f>
        <v>0</v>
      </c>
      <c r="EG82" s="157"/>
      <c r="EH82" s="505"/>
      <c r="EI82" s="506"/>
      <c r="EJ82" s="609"/>
      <c r="EK82" s="610"/>
      <c r="EL82" s="611"/>
    </row>
    <row r="83" spans="2:142" x14ac:dyDescent="0.2">
      <c r="B83" s="29"/>
      <c r="C83" s="392" t="s">
        <v>1515</v>
      </c>
      <c r="D83" s="395" t="s">
        <v>195</v>
      </c>
      <c r="E83" s="28"/>
      <c r="L83" s="54" t="s">
        <v>428</v>
      </c>
      <c r="M83" s="44" t="s">
        <v>429</v>
      </c>
      <c r="N83" s="85" t="s">
        <v>734</v>
      </c>
      <c r="O83" s="403" t="s">
        <v>195</v>
      </c>
      <c r="Q83" s="54" t="s">
        <v>436</v>
      </c>
      <c r="R83" s="89" t="s">
        <v>57</v>
      </c>
      <c r="S83" s="85" t="s">
        <v>280</v>
      </c>
      <c r="U83" s="146" t="s">
        <v>1666</v>
      </c>
      <c r="V83" s="143" t="s">
        <v>28</v>
      </c>
      <c r="W83" s="151" t="s">
        <v>975</v>
      </c>
      <c r="AK83" s="528"/>
      <c r="AL83" s="539"/>
      <c r="AM83" s="521"/>
      <c r="AU83" s="220" t="s">
        <v>367</v>
      </c>
      <c r="AV83" s="140" t="s">
        <v>148</v>
      </c>
      <c r="AW83" s="130" t="str">
        <f t="shared" si="29"/>
        <v>КД ECO-FIT.B</v>
      </c>
      <c r="AY83" s="209" t="s">
        <v>405</v>
      </c>
      <c r="AZ83" s="58" t="s">
        <v>303</v>
      </c>
      <c r="BA83" s="131" t="str">
        <f t="shared" si="1"/>
        <v>ДП LIANO.4A.купе</v>
      </c>
      <c r="BS83" s="36" t="s">
        <v>436</v>
      </c>
      <c r="BT83" s="44" t="s">
        <v>471</v>
      </c>
      <c r="BU83" s="66" t="str">
        <f t="shared" si="53"/>
        <v>ДП VIENTO.4.Стандарт</v>
      </c>
      <c r="BW83" s="56" t="s">
        <v>421</v>
      </c>
      <c r="BX83" s="57" t="s">
        <v>1546</v>
      </c>
      <c r="BY83" s="66" t="str">
        <f>CONCATENATE(BW83,".",BX83)</f>
        <v>ДП GRANDE.4.Лакобель</v>
      </c>
      <c r="CA83" s="220" t="s">
        <v>1041</v>
      </c>
      <c r="CB83" s="129" t="s">
        <v>192</v>
      </c>
      <c r="CC83" s="130" t="str">
        <f t="shared" si="57"/>
        <v>ДП BERGAMO.купе.робоча.Ручка-Замок</v>
      </c>
      <c r="CE83" s="511"/>
      <c r="CF83" s="509"/>
      <c r="CG83" s="510"/>
      <c r="CX83" s="20"/>
      <c r="CY83" s="41" t="s">
        <v>933</v>
      </c>
      <c r="CZ83" s="52" t="s">
        <v>933</v>
      </c>
      <c r="DA83" s="66" t="s">
        <v>265</v>
      </c>
      <c r="DB83" s="20"/>
      <c r="DD83" s="157" t="s">
        <v>1453</v>
      </c>
      <c r="DE83" s="158">
        <v>6200</v>
      </c>
      <c r="DF83" s="490">
        <f t="shared" si="51"/>
        <v>6200</v>
      </c>
      <c r="DG83" s="491"/>
      <c r="DH83" s="492">
        <f t="shared" si="52"/>
        <v>6200</v>
      </c>
      <c r="DP83" s="56" t="s">
        <v>1563</v>
      </c>
      <c r="DQ83" s="97">
        <v>520</v>
      </c>
      <c r="DR83" s="503">
        <f>ROUND(((DQ83-(DQ83/6))/$DD$3)*$DE$3,2)</f>
        <v>520</v>
      </c>
      <c r="DS83" s="487"/>
      <c r="DT83" s="486">
        <f>IF(DS83="",DR83,
IF(AND($DQ$10&gt;=VLOOKUP(DS83,$DP$5:$DT$9,2,0),$DQ$10&lt;=VLOOKUP(DS83,$DP$5:$DT$9,3,0)),
(DR83*(1-VLOOKUP(DS83,$DP$5:$DT$9,4,0))),
DR83))</f>
        <v>520</v>
      </c>
      <c r="DU83" s="158"/>
      <c r="DV83" s="157" t="s">
        <v>1374</v>
      </c>
      <c r="DW83" s="158">
        <v>0</v>
      </c>
      <c r="DX83" s="490">
        <f t="shared" si="61"/>
        <v>0</v>
      </c>
      <c r="DY83" s="491"/>
      <c r="DZ83" s="492">
        <f t="shared" si="62"/>
        <v>0</v>
      </c>
      <c r="EG83" s="157"/>
      <c r="EH83" s="154" t="s">
        <v>1626</v>
      </c>
      <c r="EI83" s="155">
        <v>0</v>
      </c>
      <c r="EJ83" s="504">
        <f>ROUND(((EI83-(EI83/6))/$DD$3)*$DE$3,2)</f>
        <v>0</v>
      </c>
      <c r="EK83" s="496"/>
      <c r="EL83" s="497">
        <f>IF(EK83="",EJ83,
IF(AND($EI$10&gt;=VLOOKUP(EK83,$EH$5:$EL$9,2,0),$EI$10&lt;=VLOOKUP(EK83,$EH$5:$EL$9,3,0)),
(EJ83*(1-VLOOKUP(EK83,$EH$5:$EL$9,4,0))),
EJ83))</f>
        <v>0</v>
      </c>
    </row>
    <row r="84" spans="2:142" x14ac:dyDescent="0.2">
      <c r="B84" s="29"/>
      <c r="C84" s="392"/>
      <c r="D84" s="395"/>
      <c r="E84" s="28"/>
      <c r="L84" s="54" t="s">
        <v>430</v>
      </c>
      <c r="M84" s="44" t="s">
        <v>429</v>
      </c>
      <c r="N84" s="85" t="s">
        <v>734</v>
      </c>
      <c r="O84" s="403" t="s">
        <v>195</v>
      </c>
      <c r="Q84" s="54" t="s">
        <v>437</v>
      </c>
      <c r="R84" s="89" t="s">
        <v>58</v>
      </c>
      <c r="S84" s="85" t="s">
        <v>281</v>
      </c>
      <c r="U84" s="146" t="s">
        <v>1667</v>
      </c>
      <c r="V84" s="143" t="s">
        <v>29</v>
      </c>
      <c r="W84" s="151" t="s">
        <v>976</v>
      </c>
      <c r="AU84" s="220" t="s">
        <v>367</v>
      </c>
      <c r="AV84" s="140" t="s">
        <v>293</v>
      </c>
      <c r="AW84" s="130" t="str">
        <f t="shared" si="29"/>
        <v>КД ECO-FIT.B+</v>
      </c>
      <c r="AY84" s="657"/>
      <c r="AZ84" s="658"/>
      <c r="BA84" s="659"/>
      <c r="BS84" s="36" t="s">
        <v>437</v>
      </c>
      <c r="BT84" s="44" t="s">
        <v>471</v>
      </c>
      <c r="BU84" s="66" t="str">
        <f t="shared" si="53"/>
        <v>ДП VIENTO.5.Стандарт</v>
      </c>
      <c r="BW84" s="56" t="s">
        <v>422</v>
      </c>
      <c r="BX84" s="57" t="s">
        <v>139</v>
      </c>
      <c r="BY84" s="66" t="str">
        <f t="shared" si="17"/>
        <v>ДП GRANDE.5.Сатин</v>
      </c>
      <c r="CA84" s="412"/>
      <c r="CB84" s="207"/>
      <c r="CC84" s="208"/>
      <c r="CE84" s="217" t="s">
        <v>1741</v>
      </c>
      <c r="CF84" s="129"/>
      <c r="CG84" s="130" t="str">
        <f t="shared" ref="CG84:CG91" si="63">CONCATENATE(CE84,".",CF84)</f>
        <v>ДП Viva.фальц.робоча.</v>
      </c>
      <c r="CX84" s="20"/>
      <c r="CY84" s="417"/>
      <c r="CZ84" s="86"/>
      <c r="DA84" s="208"/>
      <c r="DB84" s="20"/>
      <c r="DD84" s="595"/>
      <c r="DE84" s="596"/>
      <c r="DF84" s="597"/>
      <c r="DG84" s="598"/>
      <c r="DH84" s="599"/>
      <c r="DP84" s="56" t="s">
        <v>624</v>
      </c>
      <c r="DQ84" s="97">
        <v>0</v>
      </c>
      <c r="DR84" s="503">
        <f t="shared" si="59"/>
        <v>0</v>
      </c>
      <c r="DS84" s="487"/>
      <c r="DT84" s="486">
        <f t="shared" si="60"/>
        <v>0</v>
      </c>
      <c r="DU84" s="158"/>
      <c r="DV84" s="157" t="s">
        <v>1375</v>
      </c>
      <c r="DW84" s="158">
        <v>0</v>
      </c>
      <c r="DX84" s="490">
        <f>ROUND(((DW84-(DW84/6))/$DD$3)*$DE$3,2)</f>
        <v>0</v>
      </c>
      <c r="DY84" s="491"/>
      <c r="DZ84" s="492">
        <f>IF(DY84="",DX84,
IF(AND($DW$10&gt;=VLOOKUP(DY84,$DV$5:$DZ$9,2,0),$DW$10&lt;=VLOOKUP(DY84,$DV$5:$DZ$9,3,0)),
(DX84*(1-VLOOKUP(DY84,$DV$5:$DZ$9,4,0))),
DX84))</f>
        <v>0</v>
      </c>
      <c r="EG84" s="157"/>
      <c r="EH84" s="154" t="s">
        <v>1627</v>
      </c>
      <c r="EI84" s="155">
        <v>0</v>
      </c>
      <c r="EJ84" s="504">
        <f>ROUND(((EI84-(EI84/6))/$DD$3)*$DE$3,2)</f>
        <v>0</v>
      </c>
      <c r="EK84" s="496"/>
      <c r="EL84" s="497">
        <f>IF(EK84="",EJ84,
IF(AND($EI$10&gt;=VLOOKUP(EK84,$EH$5:$EL$9,2,0),$EI$10&lt;=VLOOKUP(EK84,$EH$5:$EL$9,3,0)),
(EJ84*(1-VLOOKUP(EK84,$EH$5:$EL$9,4,0))),
EJ84))</f>
        <v>0</v>
      </c>
    </row>
    <row r="85" spans="2:142" x14ac:dyDescent="0.2">
      <c r="B85" s="29"/>
      <c r="C85" s="392" t="s">
        <v>905</v>
      </c>
      <c r="D85" s="395" t="s">
        <v>195</v>
      </c>
      <c r="E85" s="28"/>
      <c r="L85" s="54" t="s">
        <v>431</v>
      </c>
      <c r="M85" s="44" t="s">
        <v>429</v>
      </c>
      <c r="N85" s="85" t="s">
        <v>734</v>
      </c>
      <c r="O85" s="403" t="s">
        <v>195</v>
      </c>
      <c r="Q85" s="54" t="s">
        <v>438</v>
      </c>
      <c r="R85" s="89" t="s">
        <v>462</v>
      </c>
      <c r="S85" s="85" t="s">
        <v>463</v>
      </c>
      <c r="U85" s="146" t="s">
        <v>1668</v>
      </c>
      <c r="V85" s="143" t="s">
        <v>30</v>
      </c>
      <c r="W85" s="151" t="s">
        <v>977</v>
      </c>
      <c r="AU85" s="220" t="s">
        <v>367</v>
      </c>
      <c r="AV85" s="140" t="s">
        <v>149</v>
      </c>
      <c r="AW85" s="130" t="str">
        <f t="shared" si="29"/>
        <v>КД ECO-FIT.C</v>
      </c>
      <c r="AY85" s="220" t="s">
        <v>406</v>
      </c>
      <c r="AZ85" s="129" t="s">
        <v>302</v>
      </c>
      <c r="BA85" s="130" t="str">
        <f t="shared" si="1"/>
        <v>ДП BERGAMO.1.фальц</v>
      </c>
      <c r="BS85" s="36" t="s">
        <v>438</v>
      </c>
      <c r="BT85" s="44" t="s">
        <v>471</v>
      </c>
      <c r="BU85" s="66" t="str">
        <f t="shared" si="53"/>
        <v>ДП VIENTO.1A.Стандарт</v>
      </c>
      <c r="BW85" s="56" t="s">
        <v>422</v>
      </c>
      <c r="BX85" s="57" t="s">
        <v>1546</v>
      </c>
      <c r="BY85" s="66" t="str">
        <f>CONCATENATE(BW85,".",BX85)</f>
        <v>ДП GRANDE.5.Лакобель</v>
      </c>
      <c r="CA85" s="220" t="s">
        <v>1042</v>
      </c>
      <c r="CB85" s="129" t="s">
        <v>929</v>
      </c>
      <c r="CC85" s="130" t="str">
        <f t="shared" ref="CC85:CC95" si="64">CONCATENATE(CA85,".",CB85)</f>
        <v>ДП GRANDE.фальц.робоча.(ні)</v>
      </c>
      <c r="CE85" s="220" t="s">
        <v>1741</v>
      </c>
      <c r="CF85" s="129" t="s">
        <v>953</v>
      </c>
      <c r="CG85" s="130" t="str">
        <f t="shared" si="63"/>
        <v>ДП Viva.фальц.робоча.ВВ</v>
      </c>
      <c r="CQ85" s="198"/>
      <c r="CR85" s="198"/>
      <c r="CX85" s="20"/>
      <c r="CY85" s="134" t="s">
        <v>1334</v>
      </c>
      <c r="CZ85" s="238" t="s">
        <v>1153</v>
      </c>
      <c r="DA85" s="130" t="s">
        <v>265</v>
      </c>
      <c r="DB85" s="20"/>
      <c r="DD85" s="157" t="s">
        <v>523</v>
      </c>
      <c r="DE85" s="158">
        <v>5040</v>
      </c>
      <c r="DF85" s="490">
        <f t="shared" ref="DF85:DF104" si="65">ROUND(((DE85-(DE85/6))/$DD$3)*$DE$3,2)</f>
        <v>5040</v>
      </c>
      <c r="DG85" s="491"/>
      <c r="DH85" s="492">
        <f t="shared" ref="DH85:DH104" si="66">IF(DG85="",DF85,
IF(AND($DE$10&gt;=VLOOKUP(DG85,$DD$5:$DH$9,2,0),$DE$10&lt;=VLOOKUP(DG85,$DD$5:$DH$9,3,0)),
(DF85*(1-VLOOKUP(DG85,$DD$5:$DH$9,4,0))),
DF85))</f>
        <v>5040</v>
      </c>
      <c r="DP85" s="56" t="s">
        <v>1564</v>
      </c>
      <c r="DQ85" s="97">
        <v>520</v>
      </c>
      <c r="DR85" s="503">
        <f>ROUND(((DQ85-(DQ85/6))/$DD$3)*$DE$3,2)</f>
        <v>520</v>
      </c>
      <c r="DS85" s="487"/>
      <c r="DT85" s="486">
        <f>IF(DS85="",DR85,
IF(AND($DQ$10&gt;=VLOOKUP(DS85,$DP$5:$DT$9,2,0),$DQ$10&lt;=VLOOKUP(DS85,$DP$5:$DT$9,3,0)),
(DR85*(1-VLOOKUP(DS85,$DP$5:$DT$9,4,0))),
DR85))</f>
        <v>520</v>
      </c>
      <c r="DU85" s="158"/>
      <c r="DV85" s="56" t="s">
        <v>1165</v>
      </c>
      <c r="DW85" s="97">
        <v>0</v>
      </c>
      <c r="DX85" s="607">
        <f t="shared" si="61"/>
        <v>0</v>
      </c>
      <c r="DY85" s="487"/>
      <c r="DZ85" s="486">
        <f t="shared" si="62"/>
        <v>0</v>
      </c>
      <c r="EG85" s="157"/>
      <c r="EH85" s="100" t="s">
        <v>1628</v>
      </c>
      <c r="EI85" s="156">
        <v>1680</v>
      </c>
      <c r="EJ85" s="498">
        <f>ROUND(((EI85-(EI85/6))/$DD$3)*$DE$3,2)</f>
        <v>1680</v>
      </c>
      <c r="EK85" s="493"/>
      <c r="EL85" s="494">
        <f>IF(EK85="",EJ85,
IF(AND($EI$10&gt;=VLOOKUP(EK85,$EH$5:$EL$9,2,0),$EI$10&lt;=VLOOKUP(EK85,$EH$5:$EL$9,3,0)),
(EJ85*(1-VLOOKUP(EK85,$EH$5:$EL$9,4,0))),
EJ85))</f>
        <v>1680</v>
      </c>
    </row>
    <row r="86" spans="2:142" x14ac:dyDescent="0.2">
      <c r="B86" s="29"/>
      <c r="C86" s="392" t="s">
        <v>906</v>
      </c>
      <c r="D86" s="395" t="s">
        <v>195</v>
      </c>
      <c r="E86" s="28"/>
      <c r="L86" s="54"/>
      <c r="M86" s="44"/>
      <c r="N86" s="85"/>
      <c r="O86" s="403"/>
      <c r="Q86" s="54" t="s">
        <v>439</v>
      </c>
      <c r="R86" s="89" t="s">
        <v>464</v>
      </c>
      <c r="S86" s="85" t="s">
        <v>465</v>
      </c>
      <c r="U86" s="146" t="s">
        <v>1669</v>
      </c>
      <c r="V86" s="143" t="s">
        <v>31</v>
      </c>
      <c r="W86" s="151" t="s">
        <v>978</v>
      </c>
      <c r="AU86" s="220" t="s">
        <v>367</v>
      </c>
      <c r="AV86" s="140" t="s">
        <v>150</v>
      </c>
      <c r="AW86" s="130" t="str">
        <f t="shared" ref="AW86:AW112" si="67">CONCATENATE(AU86,".",AV86)</f>
        <v>КД ECO-FIT.D</v>
      </c>
      <c r="AY86" s="209" t="s">
        <v>406</v>
      </c>
      <c r="AZ86" s="58" t="s">
        <v>303</v>
      </c>
      <c r="BA86" s="131" t="str">
        <f t="shared" si="1"/>
        <v>ДП BERGAMO.1.купе</v>
      </c>
      <c r="BS86" s="36" t="s">
        <v>439</v>
      </c>
      <c r="BT86" s="44" t="s">
        <v>471</v>
      </c>
      <c r="BU86" s="66" t="str">
        <f t="shared" si="53"/>
        <v>ДП VIENTO.2A.Стандарт</v>
      </c>
      <c r="BW86" s="56" t="s">
        <v>423</v>
      </c>
      <c r="BX86" s="57" t="s">
        <v>139</v>
      </c>
      <c r="BY86" s="66" t="str">
        <f t="shared" si="17"/>
        <v>ДП GRANDE.6.Сатин</v>
      </c>
      <c r="CA86" s="220" t="s">
        <v>1042</v>
      </c>
      <c r="CB86" s="19" t="s">
        <v>1340</v>
      </c>
      <c r="CC86" s="130" t="str">
        <f t="shared" si="64"/>
        <v>ДП GRANDE.фальц.робоча.Stand цл Лів +3завіс</v>
      </c>
      <c r="CE86" s="209" t="s">
        <v>1741</v>
      </c>
      <c r="CF86" s="58" t="s">
        <v>198</v>
      </c>
      <c r="CG86" s="131" t="str">
        <f t="shared" si="63"/>
        <v>ДП Viva.фальц.робоча.ВП</v>
      </c>
      <c r="CQ86" s="198"/>
      <c r="CR86" s="198"/>
      <c r="CX86" s="20"/>
      <c r="CY86" s="136" t="s">
        <v>1335</v>
      </c>
      <c r="CZ86" s="240" t="s">
        <v>1154</v>
      </c>
      <c r="DA86" s="131" t="s">
        <v>265</v>
      </c>
      <c r="DB86" s="20"/>
      <c r="DD86" s="157" t="s">
        <v>1454</v>
      </c>
      <c r="DE86" s="158">
        <v>5800</v>
      </c>
      <c r="DF86" s="490">
        <f t="shared" si="65"/>
        <v>5800</v>
      </c>
      <c r="DG86" s="491"/>
      <c r="DH86" s="492">
        <f t="shared" si="66"/>
        <v>5800</v>
      </c>
      <c r="DP86" s="56" t="s">
        <v>625</v>
      </c>
      <c r="DQ86" s="97">
        <v>0</v>
      </c>
      <c r="DR86" s="503">
        <f t="shared" si="59"/>
        <v>0</v>
      </c>
      <c r="DS86" s="487"/>
      <c r="DT86" s="486">
        <f t="shared" si="60"/>
        <v>0</v>
      </c>
      <c r="DU86" s="158"/>
      <c r="DV86" s="157" t="s">
        <v>647</v>
      </c>
      <c r="DW86" s="158">
        <v>0</v>
      </c>
      <c r="DX86" s="490">
        <f t="shared" si="61"/>
        <v>0</v>
      </c>
      <c r="DY86" s="491"/>
      <c r="DZ86" s="492">
        <f t="shared" si="62"/>
        <v>0</v>
      </c>
      <c r="EG86" s="157"/>
      <c r="EH86" s="100" t="s">
        <v>1629</v>
      </c>
      <c r="EI86" s="156">
        <v>2070</v>
      </c>
      <c r="EJ86" s="498">
        <f>ROUND(((EI86-(EI86/6))/$DD$3)*$DE$3,2)</f>
        <v>2070</v>
      </c>
      <c r="EK86" s="493"/>
      <c r="EL86" s="494">
        <f>IF(EK86="",EJ86,
IF(AND($EI$10&gt;=VLOOKUP(EK86,$EH$5:$EL$9,2,0),$EI$10&lt;=VLOOKUP(EK86,$EH$5:$EL$9,3,0)),
(EJ86*(1-VLOOKUP(EK86,$EH$5:$EL$9,4,0))),
EJ86))</f>
        <v>2070</v>
      </c>
    </row>
    <row r="87" spans="2:142" x14ac:dyDescent="0.2">
      <c r="B87" s="29"/>
      <c r="C87" s="392" t="s">
        <v>907</v>
      </c>
      <c r="D87" s="395" t="s">
        <v>195</v>
      </c>
      <c r="E87" s="28"/>
      <c r="L87" s="54" t="s">
        <v>1744</v>
      </c>
      <c r="M87" s="44" t="s">
        <v>1745</v>
      </c>
      <c r="N87" s="85" t="s">
        <v>1746</v>
      </c>
      <c r="O87" s="403" t="s">
        <v>195</v>
      </c>
      <c r="Q87" s="54"/>
      <c r="R87" s="89"/>
      <c r="S87" s="85"/>
      <c r="U87" s="146" t="s">
        <v>1670</v>
      </c>
      <c r="V87" s="143" t="s">
        <v>32</v>
      </c>
      <c r="W87" s="151" t="s">
        <v>979</v>
      </c>
      <c r="AU87" s="220" t="s">
        <v>367</v>
      </c>
      <c r="AV87" s="140" t="s">
        <v>151</v>
      </c>
      <c r="AW87" s="130" t="str">
        <f t="shared" si="67"/>
        <v>КД ECO-FIT.E</v>
      </c>
      <c r="AY87" s="220" t="s">
        <v>408</v>
      </c>
      <c r="AZ87" s="129" t="s">
        <v>302</v>
      </c>
      <c r="BA87" s="130" t="str">
        <f t="shared" si="1"/>
        <v>ДП BERGAMO.2.фальц</v>
      </c>
      <c r="BS87" s="412"/>
      <c r="BT87" s="207"/>
      <c r="BU87" s="208"/>
      <c r="BW87" s="56" t="s">
        <v>423</v>
      </c>
      <c r="BX87" s="57" t="s">
        <v>1546</v>
      </c>
      <c r="BY87" s="66" t="str">
        <f>CONCATENATE(BW87,".",BX87)</f>
        <v>ДП GRANDE.6.Лакобель</v>
      </c>
      <c r="CA87" s="220" t="s">
        <v>1042</v>
      </c>
      <c r="CB87" s="19" t="s">
        <v>1341</v>
      </c>
      <c r="CC87" s="130" t="str">
        <f t="shared" si="64"/>
        <v>ДП GRANDE.фальц.робоча.Stand цл Пр +3завіс</v>
      </c>
      <c r="CE87" s="217" t="s">
        <v>1742</v>
      </c>
      <c r="CF87" s="129"/>
      <c r="CG87" s="130" t="str">
        <f t="shared" si="63"/>
        <v>ДП Viva.фальц.неробоча.</v>
      </c>
      <c r="CQ87" s="198"/>
      <c r="CR87" s="198"/>
      <c r="CX87" s="20"/>
      <c r="CY87" s="135" t="s">
        <v>1336</v>
      </c>
      <c r="CZ87" s="239" t="s">
        <v>1153</v>
      </c>
      <c r="DA87" s="130" t="s">
        <v>265</v>
      </c>
      <c r="DB87" s="20"/>
      <c r="DD87" s="157" t="s">
        <v>524</v>
      </c>
      <c r="DE87" s="158">
        <v>5040</v>
      </c>
      <c r="DF87" s="490">
        <f t="shared" si="65"/>
        <v>5040</v>
      </c>
      <c r="DG87" s="491"/>
      <c r="DH87" s="492">
        <f t="shared" si="66"/>
        <v>5040</v>
      </c>
      <c r="DP87" s="56" t="s">
        <v>1565</v>
      </c>
      <c r="DQ87" s="97">
        <v>520</v>
      </c>
      <c r="DR87" s="503">
        <f>ROUND(((DQ87-(DQ87/6))/$DD$3)*$DE$3,2)</f>
        <v>520</v>
      </c>
      <c r="DS87" s="487"/>
      <c r="DT87" s="486">
        <f>IF(DS87="",DR87,
IF(AND($DQ$10&gt;=VLOOKUP(DS87,$DP$5:$DT$9,2,0),$DQ$10&lt;=VLOOKUP(DS87,$DP$5:$DT$9,3,0)),
(DR87*(1-VLOOKUP(DS87,$DP$5:$DT$9,4,0))),
DR87))</f>
        <v>520</v>
      </c>
      <c r="DU87" s="158"/>
      <c r="DV87" s="100" t="s">
        <v>648</v>
      </c>
      <c r="DW87" s="156">
        <v>640</v>
      </c>
      <c r="DX87" s="498">
        <f t="shared" si="61"/>
        <v>640</v>
      </c>
      <c r="DY87" s="493"/>
      <c r="DZ87" s="494">
        <f t="shared" si="62"/>
        <v>640</v>
      </c>
      <c r="EG87" s="157"/>
      <c r="EH87" s="505"/>
      <c r="EI87" s="506"/>
      <c r="EJ87" s="609"/>
      <c r="EK87" s="610"/>
      <c r="EL87" s="611"/>
    </row>
    <row r="88" spans="2:142" x14ac:dyDescent="0.2">
      <c r="B88" s="29"/>
      <c r="C88" s="392" t="s">
        <v>908</v>
      </c>
      <c r="D88" s="395" t="s">
        <v>195</v>
      </c>
      <c r="E88" s="28"/>
      <c r="L88" s="54" t="s">
        <v>1747</v>
      </c>
      <c r="M88" s="44" t="s">
        <v>1745</v>
      </c>
      <c r="N88" s="85" t="s">
        <v>1746</v>
      </c>
      <c r="O88" s="403" t="s">
        <v>195</v>
      </c>
      <c r="Q88" s="54" t="s">
        <v>1839</v>
      </c>
      <c r="R88" s="89" t="s">
        <v>54</v>
      </c>
      <c r="S88" s="85" t="s">
        <v>277</v>
      </c>
      <c r="U88" s="146" t="s">
        <v>1671</v>
      </c>
      <c r="V88" s="143" t="s">
        <v>33</v>
      </c>
      <c r="W88" s="151" t="s">
        <v>980</v>
      </c>
      <c r="AU88" s="220" t="s">
        <v>367</v>
      </c>
      <c r="AV88" s="140" t="s">
        <v>152</v>
      </c>
      <c r="AW88" s="130" t="str">
        <f t="shared" si="67"/>
        <v>КД ECO-FIT.F</v>
      </c>
      <c r="AY88" s="209" t="s">
        <v>408</v>
      </c>
      <c r="AZ88" s="58" t="s">
        <v>303</v>
      </c>
      <c r="BA88" s="131" t="str">
        <f t="shared" si="1"/>
        <v>ДП BERGAMO.2.купе</v>
      </c>
      <c r="BS88" s="36" t="s">
        <v>1839</v>
      </c>
      <c r="BT88" s="44" t="s">
        <v>471</v>
      </c>
      <c r="BU88" s="66" t="str">
        <f>CONCATENATE(BS88,".",BT88)</f>
        <v>ДП Neapol.1.Стандарт</v>
      </c>
      <c r="BW88" s="56" t="s">
        <v>424</v>
      </c>
      <c r="BX88" s="57" t="s">
        <v>139</v>
      </c>
      <c r="BY88" s="66" t="str">
        <f t="shared" ref="BY88:BY113" si="68">CONCATENATE(BW88,".",BX88)</f>
        <v>ДП GRANDE.1A.Сатин</v>
      </c>
      <c r="CA88" s="220" t="s">
        <v>1042</v>
      </c>
      <c r="CC88" s="130"/>
      <c r="CE88" s="220" t="s">
        <v>1742</v>
      </c>
      <c r="CF88" s="129" t="s">
        <v>953</v>
      </c>
      <c r="CG88" s="130" t="str">
        <f t="shared" si="63"/>
        <v>ДП Viva.фальц.неробоча.ВВ</v>
      </c>
      <c r="CX88" s="20"/>
      <c r="CY88" s="136" t="s">
        <v>1337</v>
      </c>
      <c r="CZ88" s="240" t="s">
        <v>1154</v>
      </c>
      <c r="DA88" s="131" t="s">
        <v>265</v>
      </c>
      <c r="DB88" s="20"/>
      <c r="DD88" s="157" t="s">
        <v>1455</v>
      </c>
      <c r="DE88" s="158">
        <v>5800</v>
      </c>
      <c r="DF88" s="490">
        <f t="shared" si="65"/>
        <v>5800</v>
      </c>
      <c r="DG88" s="491"/>
      <c r="DH88" s="492">
        <f t="shared" si="66"/>
        <v>5800</v>
      </c>
      <c r="DP88" s="56" t="s">
        <v>626</v>
      </c>
      <c r="DQ88" s="97">
        <v>0</v>
      </c>
      <c r="DR88" s="503">
        <f t="shared" si="59"/>
        <v>0</v>
      </c>
      <c r="DS88" s="487"/>
      <c r="DT88" s="486">
        <f t="shared" si="60"/>
        <v>0</v>
      </c>
      <c r="DU88" s="158"/>
      <c r="DV88" s="600"/>
      <c r="DW88" s="601"/>
      <c r="DX88" s="604"/>
      <c r="DY88" s="605"/>
      <c r="DZ88" s="606"/>
      <c r="EG88" s="157"/>
      <c r="EH88" s="154" t="s">
        <v>1630</v>
      </c>
      <c r="EI88" s="155">
        <v>0</v>
      </c>
      <c r="EJ88" s="504">
        <f>ROUND(((EI88-(EI88/6))/$DD$3)*$DE$3,2)</f>
        <v>0</v>
      </c>
      <c r="EK88" s="496"/>
      <c r="EL88" s="497">
        <f>IF(EK88="",EJ88,
IF(AND($EI$10&gt;=VLOOKUP(EK88,$EH$5:$EL$9,2,0),$EI$10&lt;=VLOOKUP(EK88,$EH$5:$EL$9,3,0)),
(EJ88*(1-VLOOKUP(EK88,$EH$5:$EL$9,4,0))),
EJ88))</f>
        <v>0</v>
      </c>
    </row>
    <row r="89" spans="2:142" x14ac:dyDescent="0.2">
      <c r="B89" s="29"/>
      <c r="C89" s="392" t="s">
        <v>909</v>
      </c>
      <c r="D89" s="395" t="s">
        <v>195</v>
      </c>
      <c r="E89" s="28"/>
      <c r="L89" s="54" t="s">
        <v>1748</v>
      </c>
      <c r="M89" s="44" t="s">
        <v>1745</v>
      </c>
      <c r="N89" s="85" t="s">
        <v>1746</v>
      </c>
      <c r="O89" s="403" t="s">
        <v>195</v>
      </c>
      <c r="Q89" s="54" t="s">
        <v>1842</v>
      </c>
      <c r="R89" s="89" t="s">
        <v>55</v>
      </c>
      <c r="S89" s="85" t="s">
        <v>278</v>
      </c>
      <c r="U89" s="147" t="s">
        <v>1672</v>
      </c>
      <c r="V89" s="144" t="s">
        <v>34</v>
      </c>
      <c r="W89" s="152" t="s">
        <v>981</v>
      </c>
      <c r="AU89" s="220" t="s">
        <v>367</v>
      </c>
      <c r="AV89" s="140" t="s">
        <v>153</v>
      </c>
      <c r="AW89" s="130" t="str">
        <f t="shared" si="67"/>
        <v>КД ECO-FIT.G</v>
      </c>
      <c r="AY89" s="220" t="s">
        <v>409</v>
      </c>
      <c r="AZ89" s="129" t="s">
        <v>302</v>
      </c>
      <c r="BA89" s="130" t="str">
        <f t="shared" si="1"/>
        <v>ДП BERGAMO.3.фальц</v>
      </c>
      <c r="BS89" s="36" t="s">
        <v>1842</v>
      </c>
      <c r="BT89" s="44" t="s">
        <v>471</v>
      </c>
      <c r="BU89" s="66" t="str">
        <f>CONCATENATE(BS89,".",BT89)</f>
        <v>ДП Neapol.2.Стандарт</v>
      </c>
      <c r="BW89" s="56" t="s">
        <v>424</v>
      </c>
      <c r="BX89" s="57" t="s">
        <v>1546</v>
      </c>
      <c r="BY89" s="66" t="str">
        <f>CONCATENATE(BW89,".",BX89)</f>
        <v>ДП GRANDE.1A.Лакобель</v>
      </c>
      <c r="CA89" s="220" t="s">
        <v>1042</v>
      </c>
      <c r="CB89" s="19" t="s">
        <v>1344</v>
      </c>
      <c r="CC89" s="130" t="str">
        <f t="shared" si="64"/>
        <v>ДП GRANDE.фальц.робоча.Stand ст Лів +3завіс</v>
      </c>
      <c r="CE89" s="209" t="s">
        <v>1742</v>
      </c>
      <c r="CF89" s="58" t="s">
        <v>198</v>
      </c>
      <c r="CG89" s="131" t="str">
        <f t="shared" si="63"/>
        <v>ДП Viva.фальц.неробоча.ВП</v>
      </c>
      <c r="CQ89" s="205"/>
      <c r="CR89" s="205"/>
      <c r="CW89" s="113"/>
      <c r="CX89" s="20"/>
      <c r="CY89" s="135" t="s">
        <v>1338</v>
      </c>
      <c r="CZ89" s="239" t="s">
        <v>1153</v>
      </c>
      <c r="DA89" s="130" t="s">
        <v>265</v>
      </c>
      <c r="DB89" s="20"/>
      <c r="DD89" s="157" t="s">
        <v>525</v>
      </c>
      <c r="DE89" s="158">
        <v>5040</v>
      </c>
      <c r="DF89" s="490">
        <f t="shared" si="65"/>
        <v>5040</v>
      </c>
      <c r="DG89" s="491"/>
      <c r="DH89" s="492">
        <f t="shared" si="66"/>
        <v>5040</v>
      </c>
      <c r="DP89" s="56" t="s">
        <v>1566</v>
      </c>
      <c r="DQ89" s="97">
        <v>520</v>
      </c>
      <c r="DR89" s="503">
        <f>ROUND(((DQ89-(DQ89/6))/$DD$3)*$DE$3,2)</f>
        <v>520</v>
      </c>
      <c r="DS89" s="487"/>
      <c r="DT89" s="486">
        <f>IF(DS89="",DR89,
IF(AND($DQ$10&gt;=VLOOKUP(DS89,$DP$5:$DT$9,2,0),$DQ$10&lt;=VLOOKUP(DS89,$DP$5:$DT$9,3,0)),
(DR89*(1-VLOOKUP(DS89,$DP$5:$DT$9,4,0))),
DR89))</f>
        <v>520</v>
      </c>
      <c r="DU89" s="158"/>
      <c r="DV89" s="56" t="s">
        <v>944</v>
      </c>
      <c r="DW89" s="97">
        <v>0</v>
      </c>
      <c r="DX89" s="388">
        <f t="shared" ref="DX89:DX98" si="69">ROUND(((DW89-(DW89/6))/$DD$3)*$DE$3,2)</f>
        <v>0</v>
      </c>
      <c r="DY89" s="487"/>
      <c r="DZ89" s="486">
        <f t="shared" ref="DZ89:DZ98" si="70">IF(DY89="",DX89,
IF(AND($DW$10&gt;=VLOOKUP(DY89,$DV$5:$DZ$9,2,0),$DW$10&lt;=VLOOKUP(DY89,$DV$5:$DZ$9,3,0)),
(DX89*(1-VLOOKUP(DY89,$DV$5:$DZ$9,4,0))),
DX89))</f>
        <v>0</v>
      </c>
      <c r="EG89" s="157"/>
      <c r="EH89" s="154" t="s">
        <v>1631</v>
      </c>
      <c r="EI89" s="155">
        <v>0</v>
      </c>
      <c r="EJ89" s="504">
        <f>ROUND(((EI89-(EI89/6))/$DD$3)*$DE$3,2)</f>
        <v>0</v>
      </c>
      <c r="EK89" s="496"/>
      <c r="EL89" s="497">
        <f>IF(EK89="",EJ89,
IF(AND($EI$10&gt;=VLOOKUP(EK89,$EH$5:$EL$9,2,0),$EI$10&lt;=VLOOKUP(EK89,$EH$5:$EL$9,3,0)),
(EJ89*(1-VLOOKUP(EK89,$EH$5:$EL$9,4,0))),
EJ89))</f>
        <v>0</v>
      </c>
    </row>
    <row r="90" spans="2:142" x14ac:dyDescent="0.2">
      <c r="B90" s="29"/>
      <c r="C90" s="392" t="s">
        <v>910</v>
      </c>
      <c r="D90" s="395" t="s">
        <v>195</v>
      </c>
      <c r="E90" s="28"/>
      <c r="L90" s="54" t="s">
        <v>1749</v>
      </c>
      <c r="M90" s="44" t="s">
        <v>1745</v>
      </c>
      <c r="N90" s="85" t="s">
        <v>1746</v>
      </c>
      <c r="O90" s="403" t="s">
        <v>195</v>
      </c>
      <c r="Q90" s="650"/>
      <c r="R90" s="650"/>
      <c r="S90" s="650"/>
      <c r="U90" s="145" t="s">
        <v>1673</v>
      </c>
      <c r="V90" s="93" t="s">
        <v>313</v>
      </c>
      <c r="W90" s="92" t="s">
        <v>804</v>
      </c>
      <c r="AU90" s="220" t="s">
        <v>367</v>
      </c>
      <c r="AV90" s="140" t="s">
        <v>154</v>
      </c>
      <c r="AW90" s="130" t="str">
        <f t="shared" si="67"/>
        <v>КД ECO-FIT.H</v>
      </c>
      <c r="AY90" s="209" t="s">
        <v>409</v>
      </c>
      <c r="AZ90" s="58" t="s">
        <v>303</v>
      </c>
      <c r="BA90" s="131" t="str">
        <f t="shared" si="1"/>
        <v>ДП BERGAMO.3.купе</v>
      </c>
      <c r="BS90" s="412"/>
      <c r="BT90" s="207"/>
      <c r="BU90" s="208"/>
      <c r="BW90" s="56" t="s">
        <v>425</v>
      </c>
      <c r="BX90" s="57" t="s">
        <v>139</v>
      </c>
      <c r="BY90" s="66" t="str">
        <f t="shared" si="68"/>
        <v>ДП GRANDE.2A.Сатин</v>
      </c>
      <c r="CA90" s="220" t="s">
        <v>1042</v>
      </c>
      <c r="CB90" s="19" t="s">
        <v>1345</v>
      </c>
      <c r="CC90" s="130" t="str">
        <f t="shared" si="64"/>
        <v>ДП GRANDE.фальц.робоча.Stand ст Пр +3завіс</v>
      </c>
      <c r="CE90" s="217" t="s">
        <v>1743</v>
      </c>
      <c r="CF90" s="129"/>
      <c r="CG90" s="130" t="str">
        <f t="shared" si="63"/>
        <v>ДП Viva.купе.робоча.</v>
      </c>
      <c r="CQ90" s="205"/>
      <c r="CR90" s="205"/>
      <c r="CS90" s="198"/>
      <c r="CW90" s="113"/>
      <c r="CX90" s="20"/>
      <c r="CY90" s="136" t="s">
        <v>1339</v>
      </c>
      <c r="CZ90" s="240" t="s">
        <v>1154</v>
      </c>
      <c r="DA90" s="131" t="s">
        <v>265</v>
      </c>
      <c r="DB90" s="20"/>
      <c r="DD90" s="157" t="s">
        <v>1456</v>
      </c>
      <c r="DE90" s="158">
        <v>5800</v>
      </c>
      <c r="DF90" s="490">
        <f t="shared" si="65"/>
        <v>5800</v>
      </c>
      <c r="DG90" s="491"/>
      <c r="DH90" s="492">
        <f t="shared" si="66"/>
        <v>5800</v>
      </c>
      <c r="DP90" s="56" t="s">
        <v>627</v>
      </c>
      <c r="DQ90" s="97">
        <v>0</v>
      </c>
      <c r="DR90" s="503">
        <f t="shared" si="59"/>
        <v>0</v>
      </c>
      <c r="DS90" s="487"/>
      <c r="DT90" s="486">
        <f t="shared" si="60"/>
        <v>0</v>
      </c>
      <c r="DU90" s="158"/>
      <c r="DV90" s="154" t="s">
        <v>1376</v>
      </c>
      <c r="DW90" s="155">
        <v>0</v>
      </c>
      <c r="DX90" s="495">
        <f t="shared" si="69"/>
        <v>0</v>
      </c>
      <c r="DY90" s="496"/>
      <c r="DZ90" s="497">
        <f t="shared" si="70"/>
        <v>0</v>
      </c>
      <c r="EG90" s="157"/>
      <c r="EH90" s="100" t="s">
        <v>1632</v>
      </c>
      <c r="EI90" s="156">
        <v>1800</v>
      </c>
      <c r="EJ90" s="498">
        <f>ROUND(((EI90-(EI90/6))/$DD$3)*$DE$3,2)</f>
        <v>1800</v>
      </c>
      <c r="EK90" s="493"/>
      <c r="EL90" s="494">
        <f>IF(EK90="",EJ90,
IF(AND($EI$10&gt;=VLOOKUP(EK90,$EH$5:$EL$9,2,0),$EI$10&lt;=VLOOKUP(EK90,$EH$5:$EL$9,3,0)),
(EJ90*(1-VLOOKUP(EK90,$EH$5:$EL$9,4,0))),
EJ90))</f>
        <v>1800</v>
      </c>
    </row>
    <row r="91" spans="2:142" x14ac:dyDescent="0.2">
      <c r="B91" s="29"/>
      <c r="C91" s="392" t="s">
        <v>911</v>
      </c>
      <c r="D91" s="395" t="s">
        <v>195</v>
      </c>
      <c r="E91" s="28"/>
      <c r="L91" s="54" t="s">
        <v>1750</v>
      </c>
      <c r="M91" s="44" t="s">
        <v>1745</v>
      </c>
      <c r="N91" s="85" t="s">
        <v>1746</v>
      </c>
      <c r="O91" s="403" t="s">
        <v>195</v>
      </c>
      <c r="Q91" s="54"/>
      <c r="R91" s="89"/>
      <c r="S91" s="85"/>
      <c r="U91" s="146" t="s">
        <v>1674</v>
      </c>
      <c r="V91" s="143" t="s">
        <v>314</v>
      </c>
      <c r="W91" s="151" t="s">
        <v>805</v>
      </c>
      <c r="AU91" s="209" t="s">
        <v>367</v>
      </c>
      <c r="AV91" s="141" t="s">
        <v>155</v>
      </c>
      <c r="AW91" s="131" t="str">
        <f t="shared" si="67"/>
        <v>КД ECO-FIT.I</v>
      </c>
      <c r="AY91" s="220" t="s">
        <v>410</v>
      </c>
      <c r="AZ91" s="129" t="s">
        <v>302</v>
      </c>
      <c r="BA91" s="130" t="str">
        <f t="shared" si="1"/>
        <v>ДП BERGAMO.4.фальц</v>
      </c>
      <c r="BS91" s="44"/>
      <c r="BT91" s="44"/>
      <c r="BU91" s="66"/>
      <c r="BW91" s="56" t="s">
        <v>425</v>
      </c>
      <c r="BX91" s="57" t="s">
        <v>1546</v>
      </c>
      <c r="BY91" s="66" t="str">
        <f>CONCATENATE(BW91,".",BX91)</f>
        <v>ДП GRANDE.2A.Лакобель</v>
      </c>
      <c r="CA91" s="217" t="s">
        <v>1043</v>
      </c>
      <c r="CB91" s="126" t="s">
        <v>929</v>
      </c>
      <c r="CC91" s="127" t="str">
        <f t="shared" si="64"/>
        <v>ДП GRANDE.фальц.неробоча.(ні)</v>
      </c>
      <c r="CE91" s="220" t="s">
        <v>1743</v>
      </c>
      <c r="CF91" s="58" t="s">
        <v>953</v>
      </c>
      <c r="CG91" s="131" t="str">
        <f t="shared" si="63"/>
        <v>ДП Viva.купе.робоча.ВВ</v>
      </c>
      <c r="CQ91" s="205"/>
      <c r="CR91" s="205"/>
      <c r="CS91" s="198"/>
      <c r="CW91" s="113"/>
      <c r="CY91" s="417"/>
      <c r="CZ91" s="86"/>
      <c r="DA91" s="208"/>
      <c r="DD91" s="157" t="s">
        <v>526</v>
      </c>
      <c r="DE91" s="158">
        <v>5040</v>
      </c>
      <c r="DF91" s="490">
        <f t="shared" si="65"/>
        <v>5040</v>
      </c>
      <c r="DG91" s="491"/>
      <c r="DH91" s="492">
        <f t="shared" si="66"/>
        <v>5040</v>
      </c>
      <c r="DP91" s="56" t="s">
        <v>1567</v>
      </c>
      <c r="DQ91" s="97">
        <v>520</v>
      </c>
      <c r="DR91" s="503">
        <f>ROUND(((DQ91-(DQ91/6))/$DD$3)*$DE$3,2)</f>
        <v>520</v>
      </c>
      <c r="DS91" s="487"/>
      <c r="DT91" s="486">
        <f>IF(DS91="",DR91,
IF(AND($DQ$10&gt;=VLOOKUP(DS91,$DP$5:$DT$9,2,0),$DQ$10&lt;=VLOOKUP(DS91,$DP$5:$DT$9,3,0)),
(DR91*(1-VLOOKUP(DS91,$DP$5:$DT$9,4,0))),
DR91))</f>
        <v>520</v>
      </c>
      <c r="DU91" s="158"/>
      <c r="DV91" s="154" t="s">
        <v>1377</v>
      </c>
      <c r="DW91" s="158">
        <v>0</v>
      </c>
      <c r="DX91" s="490">
        <f>ROUND(((DW91-(DW91/6))/$DD$3)*$DE$3,2)</f>
        <v>0</v>
      </c>
      <c r="DY91" s="491"/>
      <c r="DZ91" s="492">
        <f>IF(DY91="",DX91,
IF(AND($DW$10&gt;=VLOOKUP(DY91,$DV$5:$DZ$9,2,0),$DW$10&lt;=VLOOKUP(DY91,$DV$5:$DZ$9,3,0)),
(DX91*(1-VLOOKUP(DY91,$DV$5:$DZ$9,4,0))),
DX91))</f>
        <v>0</v>
      </c>
      <c r="EG91" s="157"/>
      <c r="EH91" s="100" t="s">
        <v>1633</v>
      </c>
      <c r="EI91" s="156">
        <v>2280</v>
      </c>
      <c r="EJ91" s="498">
        <f>ROUND(((EI91-(EI91/6))/$DD$3)*$DE$3,2)</f>
        <v>2280</v>
      </c>
      <c r="EK91" s="493"/>
      <c r="EL91" s="494">
        <f>IF(EK91="",EJ91,
IF(AND($EI$10&gt;=VLOOKUP(EK91,$EH$5:$EL$9,2,0),$EI$10&lt;=VLOOKUP(EK91,$EH$5:$EL$9,3,0)),
(EJ91*(1-VLOOKUP(EK91,$EH$5:$EL$9,4,0))),
EJ91))</f>
        <v>2280</v>
      </c>
    </row>
    <row r="92" spans="2:142" ht="10.8" thickBot="1" x14ac:dyDescent="0.25">
      <c r="B92" s="30"/>
      <c r="C92" s="392" t="s">
        <v>912</v>
      </c>
      <c r="D92" s="395" t="s">
        <v>195</v>
      </c>
      <c r="E92" s="646"/>
      <c r="L92" s="54" t="s">
        <v>1751</v>
      </c>
      <c r="M92" s="44" t="s">
        <v>1745</v>
      </c>
      <c r="N92" s="85" t="s">
        <v>1746</v>
      </c>
      <c r="O92" s="403" t="s">
        <v>195</v>
      </c>
      <c r="Q92" s="650"/>
      <c r="R92" s="650"/>
      <c r="S92" s="650"/>
      <c r="U92" s="146" t="s">
        <v>1675</v>
      </c>
      <c r="V92" s="143" t="s">
        <v>315</v>
      </c>
      <c r="W92" s="151" t="s">
        <v>806</v>
      </c>
      <c r="AU92" s="220" t="s">
        <v>1585</v>
      </c>
      <c r="AV92" s="140" t="s">
        <v>147</v>
      </c>
      <c r="AW92" s="130" t="str">
        <f t="shared" si="67"/>
        <v>КД ECO-FIT Plus.A</v>
      </c>
      <c r="AY92" s="209" t="s">
        <v>410</v>
      </c>
      <c r="AZ92" s="58" t="s">
        <v>303</v>
      </c>
      <c r="BA92" s="131" t="str">
        <f t="shared" si="1"/>
        <v>ДП BERGAMO.4.купе</v>
      </c>
      <c r="BS92" s="44"/>
      <c r="BT92" s="44"/>
      <c r="BU92" s="66"/>
      <c r="BW92" s="56" t="s">
        <v>426</v>
      </c>
      <c r="BX92" s="57" t="s">
        <v>139</v>
      </c>
      <c r="BY92" s="66" t="str">
        <f t="shared" si="68"/>
        <v>ДП GRANDE.3A.Сатин</v>
      </c>
      <c r="CA92" s="220" t="s">
        <v>1043</v>
      </c>
      <c r="CB92" s="19" t="s">
        <v>1156</v>
      </c>
      <c r="CC92" s="130" t="str">
        <f t="shared" si="64"/>
        <v>ДП GRANDE.фальц.неробоча.Пл Stand +3завіс</v>
      </c>
      <c r="CE92" s="511"/>
      <c r="CF92" s="509"/>
      <c r="CG92" s="510"/>
      <c r="CQ92" s="205"/>
      <c r="CR92" s="205"/>
      <c r="CS92" s="198"/>
      <c r="CW92" s="113"/>
      <c r="CY92" s="134" t="s">
        <v>1153</v>
      </c>
      <c r="CZ92" s="126"/>
      <c r="DA92" s="127" t="s">
        <v>265</v>
      </c>
      <c r="DD92" s="157" t="s">
        <v>1457</v>
      </c>
      <c r="DE92" s="158">
        <v>5800</v>
      </c>
      <c r="DF92" s="490">
        <f t="shared" si="65"/>
        <v>5800</v>
      </c>
      <c r="DG92" s="491"/>
      <c r="DH92" s="492">
        <f t="shared" si="66"/>
        <v>5800</v>
      </c>
      <c r="DP92" s="56" t="s">
        <v>628</v>
      </c>
      <c r="DQ92" s="97">
        <v>0</v>
      </c>
      <c r="DR92" s="503">
        <f t="shared" si="59"/>
        <v>0</v>
      </c>
      <c r="DS92" s="487"/>
      <c r="DT92" s="486">
        <f t="shared" si="60"/>
        <v>0</v>
      </c>
      <c r="DU92" s="158"/>
      <c r="DV92" s="157" t="s">
        <v>1378</v>
      </c>
      <c r="DW92" s="158">
        <v>0</v>
      </c>
      <c r="DX92" s="490">
        <f t="shared" si="69"/>
        <v>0</v>
      </c>
      <c r="DY92" s="491"/>
      <c r="DZ92" s="492">
        <f t="shared" si="70"/>
        <v>0</v>
      </c>
      <c r="EG92" s="157"/>
      <c r="EH92" s="505"/>
      <c r="EI92" s="506"/>
      <c r="EJ92" s="609"/>
      <c r="EK92" s="610"/>
      <c r="EL92" s="611"/>
    </row>
    <row r="93" spans="2:142" x14ac:dyDescent="0.2">
      <c r="C93" s="392" t="s">
        <v>913</v>
      </c>
      <c r="D93" s="395" t="s">
        <v>195</v>
      </c>
      <c r="L93" s="54" t="s">
        <v>1752</v>
      </c>
      <c r="M93" s="44" t="s">
        <v>1745</v>
      </c>
      <c r="N93" s="85" t="s">
        <v>1746</v>
      </c>
      <c r="O93" s="403" t="s">
        <v>195</v>
      </c>
      <c r="Q93" s="54"/>
      <c r="R93" s="89"/>
      <c r="S93" s="85"/>
      <c r="U93" s="146" t="s">
        <v>1676</v>
      </c>
      <c r="V93" s="143" t="s">
        <v>316</v>
      </c>
      <c r="W93" s="151" t="s">
        <v>807</v>
      </c>
      <c r="AU93" s="220" t="s">
        <v>1585</v>
      </c>
      <c r="AV93" s="140" t="s">
        <v>148</v>
      </c>
      <c r="AW93" s="130" t="str">
        <f t="shared" si="67"/>
        <v>КД ECO-FIT Plus.B</v>
      </c>
      <c r="AY93" s="220" t="s">
        <v>411</v>
      </c>
      <c r="AZ93" s="129" t="s">
        <v>302</v>
      </c>
      <c r="BA93" s="130" t="str">
        <f t="shared" si="1"/>
        <v>ДП BERGAMO.5.фальц</v>
      </c>
      <c r="BS93" s="44"/>
      <c r="BT93" s="44"/>
      <c r="BU93" s="66"/>
      <c r="BW93" s="56" t="s">
        <v>426</v>
      </c>
      <c r="BX93" s="57" t="s">
        <v>1546</v>
      </c>
      <c r="BY93" s="66" t="str">
        <f>CONCATENATE(BW93,".",BX93)</f>
        <v>ДП GRANDE.3A.Лакобель</v>
      </c>
      <c r="CA93" s="217" t="s">
        <v>1044</v>
      </c>
      <c r="CB93" s="126" t="s">
        <v>929</v>
      </c>
      <c r="CC93" s="127" t="str">
        <f t="shared" si="64"/>
        <v>ДП GRANDE.купе.робоча.(ні)</v>
      </c>
      <c r="CE93" s="217" t="s">
        <v>1048</v>
      </c>
      <c r="CF93" s="129"/>
      <c r="CG93" s="130" t="str">
        <f t="shared" ref="CG93:CG100" si="71">CONCATENATE(CE93,".",CF93)</f>
        <v>ДП VIENTO.фальц.робоча.</v>
      </c>
      <c r="CS93" s="198"/>
      <c r="CW93" s="113"/>
      <c r="CY93" s="136" t="s">
        <v>1154</v>
      </c>
      <c r="CZ93" s="58"/>
      <c r="DA93" s="131" t="s">
        <v>265</v>
      </c>
      <c r="DD93" s="157" t="s">
        <v>527</v>
      </c>
      <c r="DE93" s="158">
        <v>5040</v>
      </c>
      <c r="DF93" s="490">
        <f t="shared" si="65"/>
        <v>5040</v>
      </c>
      <c r="DG93" s="491"/>
      <c r="DH93" s="492">
        <f t="shared" si="66"/>
        <v>5040</v>
      </c>
      <c r="DP93" s="56" t="s">
        <v>1568</v>
      </c>
      <c r="DQ93" s="97">
        <v>520</v>
      </c>
      <c r="DR93" s="503">
        <f>ROUND(((DQ93-(DQ93/6))/$DD$3)*$DE$3,2)</f>
        <v>520</v>
      </c>
      <c r="DS93" s="487"/>
      <c r="DT93" s="486">
        <f>IF(DS93="",DR93,
IF(AND($DQ$10&gt;=VLOOKUP(DS93,$DP$5:$DT$9,2,0),$DQ$10&lt;=VLOOKUP(DS93,$DP$5:$DT$9,3,0)),
(DR93*(1-VLOOKUP(DS93,$DP$5:$DT$9,4,0))),
DR93))</f>
        <v>520</v>
      </c>
      <c r="DU93" s="158"/>
      <c r="DV93" s="157" t="s">
        <v>1379</v>
      </c>
      <c r="DW93" s="158">
        <v>0</v>
      </c>
      <c r="DX93" s="490">
        <f>ROUND(((DW93-(DW93/6))/$DD$3)*$DE$3,2)</f>
        <v>0</v>
      </c>
      <c r="DY93" s="491"/>
      <c r="DZ93" s="492">
        <f>IF(DY93="",DX93,
IF(AND($DW$10&gt;=VLOOKUP(DY93,$DV$5:$DZ$9,2,0),$DW$10&lt;=VLOOKUP(DY93,$DV$5:$DZ$9,3,0)),
(DX93*(1-VLOOKUP(DY93,$DV$5:$DZ$9,4,0))),
DX93))</f>
        <v>0</v>
      </c>
      <c r="EG93" s="157"/>
      <c r="EH93" s="154" t="s">
        <v>1634</v>
      </c>
      <c r="EI93" s="155">
        <v>0</v>
      </c>
      <c r="EJ93" s="504">
        <f>ROUND(((EI93-(EI93/6))/$DD$3)*$DE$3,2)</f>
        <v>0</v>
      </c>
      <c r="EK93" s="496"/>
      <c r="EL93" s="497">
        <f>IF(EK93="",EJ93,
IF(AND($EI$10&gt;=VLOOKUP(EK93,$EH$5:$EL$9,2,0),$EI$10&lt;=VLOOKUP(EK93,$EH$5:$EL$9,3,0)),
(EJ93*(1-VLOOKUP(EK93,$EH$5:$EL$9,4,0))),
EJ93))</f>
        <v>0</v>
      </c>
    </row>
    <row r="94" spans="2:142" x14ac:dyDescent="0.2">
      <c r="C94" s="392" t="s">
        <v>914</v>
      </c>
      <c r="D94" s="395" t="s">
        <v>195</v>
      </c>
      <c r="L94" s="54" t="s">
        <v>1753</v>
      </c>
      <c r="M94" s="44" t="s">
        <v>1745</v>
      </c>
      <c r="N94" s="85" t="s">
        <v>1746</v>
      </c>
      <c r="O94" s="403" t="s">
        <v>195</v>
      </c>
      <c r="Q94" s="54" t="s">
        <v>440</v>
      </c>
      <c r="R94" s="89" t="s">
        <v>54</v>
      </c>
      <c r="S94" s="85" t="s">
        <v>277</v>
      </c>
      <c r="U94" s="146" t="s">
        <v>1677</v>
      </c>
      <c r="V94" s="143" t="s">
        <v>318</v>
      </c>
      <c r="W94" s="151" t="s">
        <v>808</v>
      </c>
      <c r="AU94" s="220" t="s">
        <v>1585</v>
      </c>
      <c r="AV94" s="140" t="s">
        <v>293</v>
      </c>
      <c r="AW94" s="130" t="str">
        <f t="shared" si="67"/>
        <v>КД ECO-FIT Plus.B+</v>
      </c>
      <c r="AY94" s="209" t="s">
        <v>411</v>
      </c>
      <c r="AZ94" s="58" t="s">
        <v>303</v>
      </c>
      <c r="BA94" s="131" t="str">
        <f t="shared" si="1"/>
        <v>ДП BERGAMO.5.купе</v>
      </c>
      <c r="BS94" s="44"/>
      <c r="BT94" s="44"/>
      <c r="BU94" s="66"/>
      <c r="BW94" s="56" t="s">
        <v>427</v>
      </c>
      <c r="BX94" s="57" t="s">
        <v>139</v>
      </c>
      <c r="BY94" s="66" t="str">
        <f t="shared" si="68"/>
        <v>ДП GRANDE.4A.Сатин</v>
      </c>
      <c r="CA94" s="220" t="s">
        <v>1044</v>
      </c>
      <c r="CB94" s="129" t="s">
        <v>140</v>
      </c>
      <c r="CC94" s="130" t="str">
        <f t="shared" si="64"/>
        <v>ДП GRANDE.купе.робоча.Ручка-Захват</v>
      </c>
      <c r="CE94" s="220" t="s">
        <v>1048</v>
      </c>
      <c r="CF94" s="129" t="s">
        <v>953</v>
      </c>
      <c r="CG94" s="130" t="str">
        <f t="shared" si="71"/>
        <v>ДП VIENTO.фальц.робоча.ВВ</v>
      </c>
      <c r="CW94" s="113"/>
      <c r="CY94" s="687"/>
      <c r="CZ94" s="688"/>
      <c r="DA94" s="408"/>
      <c r="DD94" s="157" t="s">
        <v>1458</v>
      </c>
      <c r="DE94" s="158">
        <v>5800</v>
      </c>
      <c r="DF94" s="490">
        <f t="shared" si="65"/>
        <v>5800</v>
      </c>
      <c r="DG94" s="491"/>
      <c r="DH94" s="492">
        <f t="shared" si="66"/>
        <v>5800</v>
      </c>
      <c r="DP94" s="56" t="s">
        <v>629</v>
      </c>
      <c r="DQ94" s="97">
        <v>0</v>
      </c>
      <c r="DR94" s="503">
        <f t="shared" si="59"/>
        <v>0</v>
      </c>
      <c r="DS94" s="487"/>
      <c r="DT94" s="486">
        <f t="shared" si="60"/>
        <v>0</v>
      </c>
      <c r="DU94" s="158"/>
      <c r="DV94" s="157" t="s">
        <v>1380</v>
      </c>
      <c r="DW94" s="158">
        <v>0</v>
      </c>
      <c r="DX94" s="490">
        <f t="shared" si="69"/>
        <v>0</v>
      </c>
      <c r="DY94" s="491"/>
      <c r="DZ94" s="492">
        <f t="shared" si="70"/>
        <v>0</v>
      </c>
      <c r="EG94" s="157"/>
      <c r="EH94" s="154" t="s">
        <v>1635</v>
      </c>
      <c r="EI94" s="155">
        <v>0</v>
      </c>
      <c r="EJ94" s="504">
        <f>ROUND(((EI94-(EI94/6))/$DD$3)*$DE$3,2)</f>
        <v>0</v>
      </c>
      <c r="EK94" s="496"/>
      <c r="EL94" s="497">
        <f>IF(EK94="",EJ94,
IF(AND($EI$10&gt;=VLOOKUP(EK94,$EH$5:$EL$9,2,0),$EI$10&lt;=VLOOKUP(EK94,$EH$5:$EL$9,3,0)),
(EJ94*(1-VLOOKUP(EK94,$EH$5:$EL$9,4,0))),
EJ94))</f>
        <v>0</v>
      </c>
    </row>
    <row r="95" spans="2:142" x14ac:dyDescent="0.2">
      <c r="C95" s="392" t="s">
        <v>915</v>
      </c>
      <c r="D95" s="395" t="s">
        <v>195</v>
      </c>
      <c r="L95" s="54" t="s">
        <v>1755</v>
      </c>
      <c r="M95" s="44" t="s">
        <v>1745</v>
      </c>
      <c r="N95" s="85" t="s">
        <v>1746</v>
      </c>
      <c r="O95" s="403" t="s">
        <v>195</v>
      </c>
      <c r="Q95" s="54"/>
      <c r="R95" s="89"/>
      <c r="S95" s="85"/>
      <c r="U95" s="146" t="s">
        <v>1678</v>
      </c>
      <c r="V95" s="143" t="s">
        <v>319</v>
      </c>
      <c r="W95" s="151" t="s">
        <v>982</v>
      </c>
      <c r="AU95" s="220" t="s">
        <v>1585</v>
      </c>
      <c r="AV95" s="140" t="s">
        <v>149</v>
      </c>
      <c r="AW95" s="130" t="str">
        <f t="shared" si="67"/>
        <v>КД ECO-FIT Plus.C</v>
      </c>
      <c r="AY95" s="220" t="s">
        <v>412</v>
      </c>
      <c r="AZ95" s="129" t="s">
        <v>302</v>
      </c>
      <c r="BA95" s="130" t="str">
        <f t="shared" si="1"/>
        <v>ДП BERGAMO.6.фальц</v>
      </c>
      <c r="BS95" s="44"/>
      <c r="BT95" s="44"/>
      <c r="BU95" s="66"/>
      <c r="BW95" s="56" t="s">
        <v>427</v>
      </c>
      <c r="BX95" s="57" t="s">
        <v>1546</v>
      </c>
      <c r="BY95" s="66" t="str">
        <f>CONCATENATE(BW95,".",BX95)</f>
        <v>ДП GRANDE.4A.Лакобель</v>
      </c>
      <c r="CA95" s="220" t="s">
        <v>1044</v>
      </c>
      <c r="CB95" s="129" t="s">
        <v>192</v>
      </c>
      <c r="CC95" s="130" t="str">
        <f t="shared" si="64"/>
        <v>ДП GRANDE.купе.робоча.Ручка-Замок</v>
      </c>
      <c r="CE95" s="209" t="s">
        <v>1048</v>
      </c>
      <c r="CF95" s="58" t="s">
        <v>198</v>
      </c>
      <c r="CG95" s="131" t="str">
        <f t="shared" si="71"/>
        <v>ДП VIENTO.фальц.робоча.ВП</v>
      </c>
      <c r="CW95" s="113"/>
      <c r="CY95" s="134" t="s">
        <v>1148</v>
      </c>
      <c r="CZ95" s="238" t="s">
        <v>939</v>
      </c>
      <c r="DA95" s="127" t="s">
        <v>265</v>
      </c>
      <c r="DD95" s="157" t="s">
        <v>528</v>
      </c>
      <c r="DE95" s="158">
        <v>5040</v>
      </c>
      <c r="DF95" s="490">
        <f t="shared" si="65"/>
        <v>5040</v>
      </c>
      <c r="DG95" s="491"/>
      <c r="DH95" s="492">
        <f t="shared" si="66"/>
        <v>5040</v>
      </c>
      <c r="DP95" s="56" t="s">
        <v>1569</v>
      </c>
      <c r="DQ95" s="97">
        <v>520</v>
      </c>
      <c r="DR95" s="503">
        <f>ROUND(((DQ95-(DQ95/6))/$DD$3)*$DE$3,2)</f>
        <v>520</v>
      </c>
      <c r="DS95" s="487"/>
      <c r="DT95" s="486">
        <f>IF(DS95="",DR95,
IF(AND($DQ$10&gt;=VLOOKUP(DS95,$DP$5:$DT$9,2,0),$DQ$10&lt;=VLOOKUP(DS95,$DP$5:$DT$9,3,0)),
(DR95*(1-VLOOKUP(DS95,$DP$5:$DT$9,4,0))),
DR95))</f>
        <v>520</v>
      </c>
      <c r="DU95" s="158"/>
      <c r="DV95" s="157" t="s">
        <v>1381</v>
      </c>
      <c r="DW95" s="158">
        <v>0</v>
      </c>
      <c r="DX95" s="490">
        <f>ROUND(((DW95-(DW95/6))/$DD$3)*$DE$3,2)</f>
        <v>0</v>
      </c>
      <c r="DY95" s="491"/>
      <c r="DZ95" s="492">
        <f>IF(DY95="",DX95,
IF(AND($DW$10&gt;=VLOOKUP(DY95,$DV$5:$DZ$9,2,0),$DW$10&lt;=VLOOKUP(DY95,$DV$5:$DZ$9,3,0)),
(DX95*(1-VLOOKUP(DY95,$DV$5:$DZ$9,4,0))),
DX95))</f>
        <v>0</v>
      </c>
      <c r="EG95" s="157"/>
      <c r="EH95" s="100" t="s">
        <v>1636</v>
      </c>
      <c r="EI95" s="156">
        <v>1850</v>
      </c>
      <c r="EJ95" s="498">
        <f>ROUND(((EI95-(EI95/6))/$DD$3)*$DE$3,2)</f>
        <v>1850</v>
      </c>
      <c r="EK95" s="493"/>
      <c r="EL95" s="494">
        <f>IF(EK95="",EJ95,
IF(AND($EI$10&gt;=VLOOKUP(EK95,$EH$5:$EL$9,2,0),$EI$10&lt;=VLOOKUP(EK95,$EH$5:$EL$9,3,0)),
(EJ95*(1-VLOOKUP(EK95,$EH$5:$EL$9,4,0))),
EJ95))</f>
        <v>1850</v>
      </c>
    </row>
    <row r="96" spans="2:142" x14ac:dyDescent="0.2">
      <c r="C96" s="392" t="s">
        <v>916</v>
      </c>
      <c r="D96" s="395" t="s">
        <v>195</v>
      </c>
      <c r="L96" s="54" t="s">
        <v>1757</v>
      </c>
      <c r="M96" s="44" t="s">
        <v>1745</v>
      </c>
      <c r="N96" s="85" t="s">
        <v>1746</v>
      </c>
      <c r="O96" s="403" t="s">
        <v>195</v>
      </c>
      <c r="Q96" s="54" t="s">
        <v>441</v>
      </c>
      <c r="R96" s="89" t="s">
        <v>147</v>
      </c>
      <c r="S96" s="85" t="s">
        <v>17</v>
      </c>
      <c r="U96" s="146" t="s">
        <v>1679</v>
      </c>
      <c r="V96" s="143" t="s">
        <v>320</v>
      </c>
      <c r="W96" s="151" t="s">
        <v>983</v>
      </c>
      <c r="AU96" s="220" t="s">
        <v>1585</v>
      </c>
      <c r="AV96" s="140" t="s">
        <v>150</v>
      </c>
      <c r="AW96" s="130" t="str">
        <f t="shared" ref="AW96:AW101" si="72">CONCATENATE(AU96,".",AV96)</f>
        <v>КД ECO-FIT Plus.D</v>
      </c>
      <c r="AY96" s="209" t="s">
        <v>412</v>
      </c>
      <c r="AZ96" s="58" t="s">
        <v>303</v>
      </c>
      <c r="BA96" s="131" t="str">
        <f t="shared" si="1"/>
        <v>ДП BERGAMO.6.купе</v>
      </c>
      <c r="BS96" s="44"/>
      <c r="BT96" s="44"/>
      <c r="BU96" s="66"/>
      <c r="BW96" s="208"/>
      <c r="BX96" s="208"/>
      <c r="BY96" s="208"/>
      <c r="CA96" s="412"/>
      <c r="CB96" s="207"/>
      <c r="CC96" s="208"/>
      <c r="CE96" s="217" t="s">
        <v>1049</v>
      </c>
      <c r="CF96" s="129"/>
      <c r="CG96" s="130" t="str">
        <f t="shared" si="71"/>
        <v>ДП VIENTO.фальц.неробоча.</v>
      </c>
      <c r="CW96" s="113"/>
      <c r="CY96" s="136" t="s">
        <v>1151</v>
      </c>
      <c r="CZ96" s="240" t="s">
        <v>939</v>
      </c>
      <c r="DA96" s="131" t="s">
        <v>265</v>
      </c>
      <c r="DD96" s="157" t="s">
        <v>1459</v>
      </c>
      <c r="DE96" s="158">
        <v>5800</v>
      </c>
      <c r="DF96" s="490">
        <f t="shared" si="65"/>
        <v>5800</v>
      </c>
      <c r="DG96" s="491"/>
      <c r="DH96" s="492">
        <f t="shared" si="66"/>
        <v>5800</v>
      </c>
      <c r="DP96" s="241"/>
      <c r="DQ96" s="242"/>
      <c r="DR96" s="489"/>
      <c r="DS96" s="499"/>
      <c r="DT96" s="244"/>
      <c r="DU96" s="158"/>
      <c r="DV96" s="56" t="s">
        <v>1166</v>
      </c>
      <c r="DW96" s="97">
        <v>0</v>
      </c>
      <c r="DX96" s="607">
        <f t="shared" si="69"/>
        <v>0</v>
      </c>
      <c r="DY96" s="487"/>
      <c r="DZ96" s="486">
        <f t="shared" si="70"/>
        <v>0</v>
      </c>
      <c r="EG96" s="157"/>
      <c r="EH96" s="100" t="s">
        <v>1637</v>
      </c>
      <c r="EI96" s="156">
        <v>2260</v>
      </c>
      <c r="EJ96" s="498">
        <f>ROUND(((EI96-(EI96/6))/$DD$3)*$DE$3,2)</f>
        <v>2260</v>
      </c>
      <c r="EK96" s="493"/>
      <c r="EL96" s="494">
        <f>IF(EK96="",EJ96,
IF(AND($EI$10&gt;=VLOOKUP(EK96,$EH$5:$EL$9,2,0),$EI$10&lt;=VLOOKUP(EK96,$EH$5:$EL$9,3,0)),
(EJ96*(1-VLOOKUP(EK96,$EH$5:$EL$9,4,0))),
EJ96))</f>
        <v>2260</v>
      </c>
    </row>
    <row r="97" spans="3:142" x14ac:dyDescent="0.2">
      <c r="C97" s="392" t="s">
        <v>917</v>
      </c>
      <c r="D97" s="397" t="s">
        <v>195</v>
      </c>
      <c r="L97" s="54"/>
      <c r="M97" s="44"/>
      <c r="N97" s="85"/>
      <c r="O97" s="403"/>
      <c r="Q97" s="54" t="s">
        <v>442</v>
      </c>
      <c r="R97" s="89" t="s">
        <v>148</v>
      </c>
      <c r="S97" s="85" t="s">
        <v>18</v>
      </c>
      <c r="U97" s="146" t="s">
        <v>1680</v>
      </c>
      <c r="V97" s="143" t="s">
        <v>321</v>
      </c>
      <c r="W97" s="151" t="s">
        <v>984</v>
      </c>
      <c r="AU97" s="220" t="s">
        <v>1585</v>
      </c>
      <c r="AV97" s="140" t="s">
        <v>151</v>
      </c>
      <c r="AW97" s="130" t="str">
        <f t="shared" si="72"/>
        <v>КД ECO-FIT Plus.E</v>
      </c>
      <c r="AY97" s="220" t="s">
        <v>413</v>
      </c>
      <c r="AZ97" s="129" t="s">
        <v>302</v>
      </c>
      <c r="BA97" s="130" t="str">
        <f t="shared" si="1"/>
        <v>ДП BERGAMO.1A.фальц</v>
      </c>
      <c r="BS97" s="521"/>
      <c r="BT97" s="521"/>
      <c r="BU97" s="527"/>
      <c r="BW97" s="56" t="s">
        <v>428</v>
      </c>
      <c r="BX97" s="57" t="s">
        <v>929</v>
      </c>
      <c r="BY97" s="66" t="str">
        <f t="shared" si="68"/>
        <v>ДП PIANO.1.(ні)</v>
      </c>
      <c r="CA97" s="220" t="s">
        <v>1045</v>
      </c>
      <c r="CB97" s="129" t="s">
        <v>929</v>
      </c>
      <c r="CC97" s="130" t="str">
        <f t="shared" ref="CC97:CC107" si="73">CONCATENATE(CA97,".",CB97)</f>
        <v>ДП PIANO.фальц.робоча.(ні)</v>
      </c>
      <c r="CE97" s="220" t="s">
        <v>1049</v>
      </c>
      <c r="CF97" s="129" t="s">
        <v>953</v>
      </c>
      <c r="CG97" s="130" t="str">
        <f t="shared" si="71"/>
        <v>ДП VIENTO.фальц.неробоча.ВВ</v>
      </c>
      <c r="CW97" s="113"/>
      <c r="CY97" s="135" t="s">
        <v>1149</v>
      </c>
      <c r="CZ97" s="239" t="s">
        <v>940</v>
      </c>
      <c r="DA97" s="130" t="s">
        <v>265</v>
      </c>
      <c r="DD97" s="157" t="s">
        <v>529</v>
      </c>
      <c r="DE97" s="158">
        <v>5040</v>
      </c>
      <c r="DF97" s="490">
        <f t="shared" si="65"/>
        <v>5040</v>
      </c>
      <c r="DG97" s="491"/>
      <c r="DH97" s="492">
        <f t="shared" si="66"/>
        <v>5040</v>
      </c>
      <c r="DP97" s="56" t="s">
        <v>947</v>
      </c>
      <c r="DQ97" s="97">
        <v>0</v>
      </c>
      <c r="DR97" s="503">
        <f t="shared" si="59"/>
        <v>0</v>
      </c>
      <c r="DS97" s="487"/>
      <c r="DT97" s="486">
        <f t="shared" si="60"/>
        <v>0</v>
      </c>
      <c r="DU97" s="158"/>
      <c r="DV97" s="157" t="s">
        <v>649</v>
      </c>
      <c r="DW97" s="158">
        <v>0</v>
      </c>
      <c r="DX97" s="490">
        <f t="shared" si="69"/>
        <v>0</v>
      </c>
      <c r="DY97" s="491"/>
      <c r="DZ97" s="492">
        <f t="shared" si="70"/>
        <v>0</v>
      </c>
      <c r="EG97" s="157"/>
      <c r="EH97" s="505"/>
      <c r="EI97" s="506"/>
      <c r="EJ97" s="609"/>
      <c r="EK97" s="610"/>
      <c r="EL97" s="611"/>
    </row>
    <row r="98" spans="3:142" ht="10.8" thickBot="1" x14ac:dyDescent="0.25">
      <c r="C98" s="393" t="s">
        <v>918</v>
      </c>
      <c r="D98" s="396" t="s">
        <v>195</v>
      </c>
      <c r="L98" s="54" t="s">
        <v>432</v>
      </c>
      <c r="M98" s="44" t="s">
        <v>433</v>
      </c>
      <c r="N98" s="85" t="s">
        <v>735</v>
      </c>
      <c r="O98" s="403" t="s">
        <v>195</v>
      </c>
      <c r="Q98" s="54" t="s">
        <v>443</v>
      </c>
      <c r="R98" s="89" t="s">
        <v>293</v>
      </c>
      <c r="S98" s="85" t="s">
        <v>294</v>
      </c>
      <c r="U98" s="146" t="s">
        <v>1681</v>
      </c>
      <c r="V98" s="143" t="s">
        <v>322</v>
      </c>
      <c r="W98" s="151" t="s">
        <v>985</v>
      </c>
      <c r="AU98" s="220" t="s">
        <v>1585</v>
      </c>
      <c r="AV98" s="140" t="s">
        <v>152</v>
      </c>
      <c r="AW98" s="130" t="str">
        <f t="shared" si="72"/>
        <v>КД ECO-FIT Plus.F</v>
      </c>
      <c r="AY98" s="209" t="s">
        <v>413</v>
      </c>
      <c r="AZ98" s="58" t="s">
        <v>303</v>
      </c>
      <c r="BA98" s="131" t="str">
        <f t="shared" si="1"/>
        <v>ДП BERGAMO.1A.купе</v>
      </c>
      <c r="BW98" s="56" t="s">
        <v>430</v>
      </c>
      <c r="BX98" s="57" t="s">
        <v>139</v>
      </c>
      <c r="BY98" s="66" t="str">
        <f t="shared" si="68"/>
        <v>ДП PIANO.2.Сатин</v>
      </c>
      <c r="CA98" s="220" t="s">
        <v>1045</v>
      </c>
      <c r="CB98" s="19" t="s">
        <v>1340</v>
      </c>
      <c r="CC98" s="130" t="str">
        <f t="shared" si="73"/>
        <v>ДП PIANO.фальц.робоча.Stand цл Лів +3завіс</v>
      </c>
      <c r="CE98" s="209" t="s">
        <v>1049</v>
      </c>
      <c r="CF98" s="58" t="s">
        <v>198</v>
      </c>
      <c r="CG98" s="131" t="str">
        <f t="shared" si="71"/>
        <v>ДП VIENTO.фальц.неробоча.ВП</v>
      </c>
      <c r="CW98" s="113"/>
      <c r="CY98" s="136" t="s">
        <v>1152</v>
      </c>
      <c r="CZ98" s="240" t="s">
        <v>940</v>
      </c>
      <c r="DA98" s="131" t="s">
        <v>265</v>
      </c>
      <c r="DD98" s="157" t="s">
        <v>1460</v>
      </c>
      <c r="DE98" s="158">
        <v>5800</v>
      </c>
      <c r="DF98" s="490">
        <f t="shared" si="65"/>
        <v>5800</v>
      </c>
      <c r="DG98" s="491"/>
      <c r="DH98" s="492">
        <f t="shared" si="66"/>
        <v>5800</v>
      </c>
      <c r="DP98" s="56" t="s">
        <v>630</v>
      </c>
      <c r="DQ98" s="97">
        <v>0</v>
      </c>
      <c r="DR98" s="503">
        <f t="shared" si="59"/>
        <v>0</v>
      </c>
      <c r="DS98" s="487"/>
      <c r="DT98" s="486">
        <f t="shared" si="60"/>
        <v>0</v>
      </c>
      <c r="DU98" s="158"/>
      <c r="DV98" s="100" t="s">
        <v>650</v>
      </c>
      <c r="DW98" s="156">
        <v>640</v>
      </c>
      <c r="DX98" s="498">
        <f t="shared" si="69"/>
        <v>640</v>
      </c>
      <c r="DY98" s="493"/>
      <c r="DZ98" s="494">
        <f t="shared" si="70"/>
        <v>640</v>
      </c>
      <c r="EG98" s="157"/>
      <c r="EH98" s="154" t="s">
        <v>1638</v>
      </c>
      <c r="EI98" s="155">
        <v>0</v>
      </c>
      <c r="EJ98" s="504">
        <f>ROUND(((EI98-(EI98/6))/$DD$3)*$DE$3,2)</f>
        <v>0</v>
      </c>
      <c r="EK98" s="496"/>
      <c r="EL98" s="497">
        <f>IF(EK98="",EJ98,
IF(AND($EI$10&gt;=VLOOKUP(EK98,$EH$5:$EL$9,2,0),$EI$10&lt;=VLOOKUP(EK98,$EH$5:$EL$9,3,0)),
(EJ98*(1-VLOOKUP(EK98,$EH$5:$EL$9,4,0))),
EJ98))</f>
        <v>0</v>
      </c>
    </row>
    <row r="99" spans="3:142" ht="10.8" thickBot="1" x14ac:dyDescent="0.25">
      <c r="C99" s="645"/>
      <c r="D99" s="645"/>
      <c r="L99" s="54" t="s">
        <v>434</v>
      </c>
      <c r="M99" s="44" t="s">
        <v>433</v>
      </c>
      <c r="N99" s="85" t="s">
        <v>735</v>
      </c>
      <c r="O99" s="403" t="s">
        <v>195</v>
      </c>
      <c r="Q99" s="54" t="s">
        <v>444</v>
      </c>
      <c r="R99" s="89" t="s">
        <v>149</v>
      </c>
      <c r="S99" s="85" t="s">
        <v>19</v>
      </c>
      <c r="U99" s="146" t="s">
        <v>1682</v>
      </c>
      <c r="V99" s="143" t="s">
        <v>323</v>
      </c>
      <c r="W99" s="151" t="s">
        <v>986</v>
      </c>
      <c r="AU99" s="220" t="s">
        <v>1585</v>
      </c>
      <c r="AV99" s="140" t="s">
        <v>153</v>
      </c>
      <c r="AW99" s="130" t="str">
        <f t="shared" si="72"/>
        <v>КД ECO-FIT Plus.G</v>
      </c>
      <c r="AY99" s="220" t="s">
        <v>414</v>
      </c>
      <c r="AZ99" s="129" t="s">
        <v>302</v>
      </c>
      <c r="BA99" s="130" t="str">
        <f t="shared" si="1"/>
        <v>ДП BERGAMO.2A.фальц</v>
      </c>
      <c r="BW99" s="56" t="s">
        <v>430</v>
      </c>
      <c r="BX99" s="57" t="s">
        <v>1546</v>
      </c>
      <c r="BY99" s="66" t="str">
        <f>CONCATENATE(BW99,".",BX99)</f>
        <v>ДП PIANO.2.Лакобель</v>
      </c>
      <c r="CA99" s="220" t="s">
        <v>1045</v>
      </c>
      <c r="CB99" s="19" t="s">
        <v>1341</v>
      </c>
      <c r="CC99" s="130" t="str">
        <f t="shared" si="73"/>
        <v>ДП PIANO.фальц.робоча.Stand цл Пр +3завіс</v>
      </c>
      <c r="CE99" s="217" t="s">
        <v>1050</v>
      </c>
      <c r="CF99" s="129"/>
      <c r="CG99" s="130" t="str">
        <f t="shared" si="71"/>
        <v>ДП VIENTO.купе.робоча.</v>
      </c>
      <c r="CW99" s="113"/>
      <c r="CY99" s="687"/>
      <c r="CZ99" s="688"/>
      <c r="DA99" s="408"/>
      <c r="DD99" s="157" t="s">
        <v>530</v>
      </c>
      <c r="DE99" s="158">
        <v>5040</v>
      </c>
      <c r="DF99" s="490">
        <f t="shared" si="65"/>
        <v>5040</v>
      </c>
      <c r="DG99" s="491"/>
      <c r="DH99" s="492">
        <f t="shared" si="66"/>
        <v>5040</v>
      </c>
      <c r="DP99" s="56" t="s">
        <v>1570</v>
      </c>
      <c r="DQ99" s="97">
        <v>520</v>
      </c>
      <c r="DR99" s="503">
        <f>ROUND(((DQ99-(DQ99/6))/$DD$3)*$DE$3,2)</f>
        <v>520</v>
      </c>
      <c r="DS99" s="487"/>
      <c r="DT99" s="486">
        <f>IF(DS99="",DR99,
IF(AND($DQ$10&gt;=VLOOKUP(DS99,$DP$5:$DT$9,2,0),$DQ$10&lt;=VLOOKUP(DS99,$DP$5:$DT$9,3,0)),
(DR99*(1-VLOOKUP(DS99,$DP$5:$DT$9,4,0))),
DR99))</f>
        <v>520</v>
      </c>
      <c r="DU99" s="158"/>
      <c r="DV99" s="600"/>
      <c r="DW99" s="601"/>
      <c r="DX99" s="604"/>
      <c r="DY99" s="605"/>
      <c r="DZ99" s="606"/>
      <c r="EG99" s="157"/>
      <c r="EH99" s="154" t="s">
        <v>1639</v>
      </c>
      <c r="EI99" s="155">
        <v>0</v>
      </c>
      <c r="EJ99" s="504">
        <f>ROUND(((EI99-(EI99/6))/$DD$3)*$DE$3,2)</f>
        <v>0</v>
      </c>
      <c r="EK99" s="496"/>
      <c r="EL99" s="497">
        <f>IF(EK99="",EJ99,
IF(AND($EI$10&gt;=VLOOKUP(EK99,$EH$5:$EL$9,2,0),$EI$10&lt;=VLOOKUP(EK99,$EH$5:$EL$9,3,0)),
(EJ99*(1-VLOOKUP(EK99,$EH$5:$EL$9,4,0))),
EJ99))</f>
        <v>0</v>
      </c>
    </row>
    <row r="100" spans="3:142" x14ac:dyDescent="0.2">
      <c r="C100" s="20"/>
      <c r="D100" s="20"/>
      <c r="L100" s="54" t="s">
        <v>435</v>
      </c>
      <c r="M100" s="44" t="s">
        <v>433</v>
      </c>
      <c r="N100" s="85" t="s">
        <v>735</v>
      </c>
      <c r="O100" s="403" t="s">
        <v>195</v>
      </c>
      <c r="Q100" s="54" t="s">
        <v>445</v>
      </c>
      <c r="R100" s="89" t="s">
        <v>150</v>
      </c>
      <c r="S100" s="85" t="s">
        <v>20</v>
      </c>
      <c r="U100" s="146" t="s">
        <v>1683</v>
      </c>
      <c r="V100" s="143" t="s">
        <v>324</v>
      </c>
      <c r="W100" s="151" t="s">
        <v>987</v>
      </c>
      <c r="AU100" s="220" t="s">
        <v>1585</v>
      </c>
      <c r="AV100" s="140" t="s">
        <v>154</v>
      </c>
      <c r="AW100" s="130" t="str">
        <f t="shared" si="72"/>
        <v>КД ECO-FIT Plus.H</v>
      </c>
      <c r="AY100" s="209" t="s">
        <v>414</v>
      </c>
      <c r="AZ100" s="58" t="s">
        <v>303</v>
      </c>
      <c r="BA100" s="131" t="str">
        <f t="shared" si="1"/>
        <v>ДП BERGAMO.2A.купе</v>
      </c>
      <c r="BW100" s="56" t="s">
        <v>431</v>
      </c>
      <c r="BX100" s="57" t="s">
        <v>139</v>
      </c>
      <c r="BY100" s="66" t="str">
        <f t="shared" si="68"/>
        <v>ДП PIANO.3.Сатин</v>
      </c>
      <c r="CA100" s="220" t="s">
        <v>1045</v>
      </c>
      <c r="CC100" s="130"/>
      <c r="CE100" s="220" t="s">
        <v>1050</v>
      </c>
      <c r="CF100" s="58" t="s">
        <v>953</v>
      </c>
      <c r="CG100" s="131" t="str">
        <f t="shared" si="71"/>
        <v>ДП VIENTO.купе.робоча.ВВ</v>
      </c>
      <c r="CW100" s="113"/>
      <c r="CY100" s="41"/>
      <c r="CZ100" s="52"/>
      <c r="DA100" s="131"/>
      <c r="DD100" s="157" t="s">
        <v>1461</v>
      </c>
      <c r="DE100" s="158">
        <v>5800</v>
      </c>
      <c r="DF100" s="490">
        <f t="shared" si="65"/>
        <v>5800</v>
      </c>
      <c r="DG100" s="491"/>
      <c r="DH100" s="492">
        <f t="shared" si="66"/>
        <v>5800</v>
      </c>
      <c r="DP100" s="56" t="s">
        <v>631</v>
      </c>
      <c r="DQ100" s="97">
        <v>0</v>
      </c>
      <c r="DR100" s="503">
        <f t="shared" si="59"/>
        <v>0</v>
      </c>
      <c r="DS100" s="487"/>
      <c r="DT100" s="486">
        <f t="shared" si="60"/>
        <v>0</v>
      </c>
      <c r="DU100" s="158"/>
      <c r="DV100" s="56" t="s">
        <v>1754</v>
      </c>
      <c r="DW100" s="97">
        <v>0</v>
      </c>
      <c r="DX100" s="388">
        <f t="shared" ref="DX100:DX109" si="74">ROUND(((DW100-(DW100/6))/$DD$3)*$DE$3,2)</f>
        <v>0</v>
      </c>
      <c r="DY100" s="487"/>
      <c r="DZ100" s="486">
        <f t="shared" ref="DZ100:DZ109" si="75">IF(DY100="",DX100,
IF(AND($DW$10&gt;=VLOOKUP(DY100,$DV$5:$DZ$9,2,0),$DW$10&lt;=VLOOKUP(DY100,$DV$5:$DZ$9,3,0)),
(DX100*(1-VLOOKUP(DY100,$DV$5:$DZ$9,4,0))),
DX100))</f>
        <v>0</v>
      </c>
      <c r="EG100" s="157"/>
      <c r="EH100" s="100" t="s">
        <v>1640</v>
      </c>
      <c r="EI100" s="156">
        <v>1940</v>
      </c>
      <c r="EJ100" s="498">
        <f>ROUND(((EI100-(EI100/6))/$DD$3)*$DE$3,2)</f>
        <v>1940</v>
      </c>
      <c r="EK100" s="493"/>
      <c r="EL100" s="494">
        <f>IF(EK100="",EJ100,
IF(AND($EI$10&gt;=VLOOKUP(EK100,$EH$5:$EL$9,2,0),$EI$10&lt;=VLOOKUP(EK100,$EH$5:$EL$9,3,0)),
(EJ100*(1-VLOOKUP(EK100,$EH$5:$EL$9,4,0))),
EJ100))</f>
        <v>1940</v>
      </c>
    </row>
    <row r="101" spans="3:142" x14ac:dyDescent="0.2">
      <c r="C101" s="20"/>
      <c r="D101" s="20"/>
      <c r="L101" s="54" t="s">
        <v>436</v>
      </c>
      <c r="M101" s="44" t="s">
        <v>433</v>
      </c>
      <c r="N101" s="85" t="s">
        <v>735</v>
      </c>
      <c r="O101" s="403" t="s">
        <v>195</v>
      </c>
      <c r="Q101" s="54" t="s">
        <v>446</v>
      </c>
      <c r="R101" s="89" t="s">
        <v>151</v>
      </c>
      <c r="S101" s="85" t="s">
        <v>21</v>
      </c>
      <c r="U101" s="146" t="s">
        <v>1684</v>
      </c>
      <c r="V101" s="143" t="s">
        <v>325</v>
      </c>
      <c r="W101" s="151" t="s">
        <v>988</v>
      </c>
      <c r="AU101" s="209" t="s">
        <v>1585</v>
      </c>
      <c r="AV101" s="141" t="s">
        <v>155</v>
      </c>
      <c r="AW101" s="131" t="str">
        <f t="shared" si="72"/>
        <v>КД ECO-FIT Plus.I</v>
      </c>
      <c r="AY101" s="220" t="s">
        <v>415</v>
      </c>
      <c r="AZ101" s="129" t="s">
        <v>302</v>
      </c>
      <c r="BA101" s="130" t="str">
        <f t="shared" si="1"/>
        <v>ДП BERGAMO.3A.фальц</v>
      </c>
      <c r="BW101" s="56" t="s">
        <v>431</v>
      </c>
      <c r="BX101" s="57" t="s">
        <v>1546</v>
      </c>
      <c r="BY101" s="66" t="str">
        <f>CONCATENATE(BW101,".",BX101)</f>
        <v>ДП PIANO.3.Лакобель</v>
      </c>
      <c r="CA101" s="220" t="s">
        <v>1045</v>
      </c>
      <c r="CB101" s="19" t="s">
        <v>1344</v>
      </c>
      <c r="CC101" s="130" t="str">
        <f t="shared" si="73"/>
        <v>ДП PIANO.фальц.робоча.Stand ст Лів +3завіс</v>
      </c>
      <c r="CE101" s="511"/>
      <c r="CF101" s="509"/>
      <c r="CG101" s="510"/>
      <c r="CW101" s="113"/>
      <c r="CY101" s="41"/>
      <c r="CZ101" s="52"/>
      <c r="DA101" s="66"/>
      <c r="DD101" s="157" t="s">
        <v>531</v>
      </c>
      <c r="DE101" s="158">
        <v>5040</v>
      </c>
      <c r="DF101" s="490">
        <f t="shared" si="65"/>
        <v>5040</v>
      </c>
      <c r="DG101" s="491"/>
      <c r="DH101" s="492">
        <f t="shared" si="66"/>
        <v>5040</v>
      </c>
      <c r="DP101" s="56" t="s">
        <v>1571</v>
      </c>
      <c r="DQ101" s="97">
        <v>520</v>
      </c>
      <c r="DR101" s="503">
        <f>ROUND(((DQ101-(DQ101/6))/$DD$3)*$DE$3,2)</f>
        <v>520</v>
      </c>
      <c r="DS101" s="487"/>
      <c r="DT101" s="486">
        <f>IF(DS101="",DR101,
IF(AND($DQ$10&gt;=VLOOKUP(DS101,$DP$5:$DT$9,2,0),$DQ$10&lt;=VLOOKUP(DS101,$DP$5:$DT$9,3,0)),
(DR101*(1-VLOOKUP(DS101,$DP$5:$DT$9,4,0))),
DR101))</f>
        <v>520</v>
      </c>
      <c r="DU101" s="158"/>
      <c r="DV101" s="154" t="s">
        <v>1756</v>
      </c>
      <c r="DW101" s="155">
        <v>0</v>
      </c>
      <c r="DX101" s="495">
        <f t="shared" si="74"/>
        <v>0</v>
      </c>
      <c r="DY101" s="496"/>
      <c r="DZ101" s="497">
        <f t="shared" si="75"/>
        <v>0</v>
      </c>
      <c r="EG101" s="157"/>
      <c r="EH101" s="100" t="s">
        <v>1641</v>
      </c>
      <c r="EI101" s="156">
        <v>2370</v>
      </c>
      <c r="EJ101" s="498">
        <f>ROUND(((EI101-(EI101/6))/$DD$3)*$DE$3,2)</f>
        <v>2370</v>
      </c>
      <c r="EK101" s="493"/>
      <c r="EL101" s="494">
        <f>IF(EK101="",EJ101,
IF(AND($EI$10&gt;=VLOOKUP(EK101,$EH$5:$EL$9,2,0),$EI$10&lt;=VLOOKUP(EK101,$EH$5:$EL$9,3,0)),
(EJ101*(1-VLOOKUP(EK101,$EH$5:$EL$9,4,0))),
EJ101))</f>
        <v>2370</v>
      </c>
    </row>
    <row r="102" spans="3:142" x14ac:dyDescent="0.2">
      <c r="C102" s="20"/>
      <c r="D102" s="20"/>
      <c r="L102" s="54" t="s">
        <v>437</v>
      </c>
      <c r="M102" s="44" t="s">
        <v>433</v>
      </c>
      <c r="N102" s="85" t="s">
        <v>735</v>
      </c>
      <c r="O102" s="403" t="s">
        <v>195</v>
      </c>
      <c r="Q102" s="54" t="s">
        <v>447</v>
      </c>
      <c r="R102" s="89" t="s">
        <v>152</v>
      </c>
      <c r="S102" s="85" t="s">
        <v>22</v>
      </c>
      <c r="U102" s="146" t="s">
        <v>1685</v>
      </c>
      <c r="V102" s="143" t="s">
        <v>326</v>
      </c>
      <c r="W102" s="151" t="s">
        <v>989</v>
      </c>
      <c r="AU102" s="209" t="s">
        <v>368</v>
      </c>
      <c r="AV102" s="141" t="s">
        <v>164</v>
      </c>
      <c r="AW102" s="131" t="str">
        <f t="shared" si="67"/>
        <v>РС ECO-SLIDE.1</v>
      </c>
      <c r="AY102" s="209" t="s">
        <v>415</v>
      </c>
      <c r="AZ102" s="58" t="s">
        <v>303</v>
      </c>
      <c r="BA102" s="131" t="str">
        <f t="shared" si="1"/>
        <v>ДП BERGAMO.3A.купе</v>
      </c>
      <c r="BW102" s="208"/>
      <c r="BX102" s="208"/>
      <c r="BY102" s="208"/>
      <c r="CA102" s="220" t="s">
        <v>1045</v>
      </c>
      <c r="CB102" s="19" t="s">
        <v>1345</v>
      </c>
      <c r="CC102" s="130" t="str">
        <f t="shared" si="73"/>
        <v>ДП PIANO.фальц.робоча.Stand ст Пр +3завіс</v>
      </c>
      <c r="CE102" s="217" t="s">
        <v>1843</v>
      </c>
      <c r="CF102" s="129"/>
      <c r="CG102" s="130" t="str">
        <f t="shared" ref="CG102:CG109" si="76">CONCATENATE(CE102,".",CF102)</f>
        <v>ДП Neapol.фальц.робоча.</v>
      </c>
      <c r="CW102" s="113"/>
      <c r="CY102" s="41"/>
      <c r="CZ102" s="52"/>
      <c r="DA102" s="66"/>
      <c r="DD102" s="157" t="s">
        <v>1462</v>
      </c>
      <c r="DE102" s="158">
        <v>5800</v>
      </c>
      <c r="DF102" s="490">
        <f t="shared" si="65"/>
        <v>5800</v>
      </c>
      <c r="DG102" s="491"/>
      <c r="DH102" s="492">
        <f t="shared" si="66"/>
        <v>5800</v>
      </c>
      <c r="DP102" s="241"/>
      <c r="DQ102" s="242"/>
      <c r="DR102" s="489"/>
      <c r="DS102" s="499"/>
      <c r="DT102" s="244"/>
      <c r="DU102" s="158"/>
      <c r="DV102" s="154" t="s">
        <v>1758</v>
      </c>
      <c r="DW102" s="158">
        <v>0</v>
      </c>
      <c r="DX102" s="490">
        <f>ROUND(((DW102-(DW102/6))/$DD$3)*$DE$3,2)</f>
        <v>0</v>
      </c>
      <c r="DY102" s="491"/>
      <c r="DZ102" s="492">
        <f>IF(DY102="",DX102,
IF(AND($DW$10&gt;=VLOOKUP(DY102,$DV$5:$DZ$9,2,0),$DW$10&lt;=VLOOKUP(DY102,$DV$5:$DZ$9,3,0)),
(DX102*(1-VLOOKUP(DY102,$DV$5:$DZ$9,4,0))),
DX102))</f>
        <v>0</v>
      </c>
      <c r="EG102" s="157"/>
      <c r="EH102" s="505"/>
      <c r="EI102" s="506"/>
      <c r="EJ102" s="609"/>
      <c r="EK102" s="610"/>
      <c r="EL102" s="611"/>
    </row>
    <row r="103" spans="3:142" x14ac:dyDescent="0.2">
      <c r="C103" s="20"/>
      <c r="D103" s="20"/>
      <c r="L103" s="54" t="s">
        <v>438</v>
      </c>
      <c r="M103" s="44" t="s">
        <v>433</v>
      </c>
      <c r="N103" s="85" t="s">
        <v>735</v>
      </c>
      <c r="O103" s="403" t="s">
        <v>195</v>
      </c>
      <c r="Q103" s="54" t="s">
        <v>448</v>
      </c>
      <c r="R103" s="89" t="s">
        <v>153</v>
      </c>
      <c r="S103" s="85" t="s">
        <v>23</v>
      </c>
      <c r="U103" s="147" t="s">
        <v>1686</v>
      </c>
      <c r="V103" s="144" t="s">
        <v>327</v>
      </c>
      <c r="W103" s="152" t="s">
        <v>990</v>
      </c>
      <c r="AU103" s="220" t="s">
        <v>369</v>
      </c>
      <c r="AV103" s="140" t="s">
        <v>147</v>
      </c>
      <c r="AW103" s="130" t="str">
        <f t="shared" si="67"/>
        <v>ФР ECO-FIT.A</v>
      </c>
      <c r="AY103" s="220" t="s">
        <v>416</v>
      </c>
      <c r="AZ103" s="129" t="s">
        <v>302</v>
      </c>
      <c r="BA103" s="130" t="str">
        <f t="shared" si="1"/>
        <v>ДП BERGAMO.4A.фальц</v>
      </c>
      <c r="BW103" s="56" t="s">
        <v>1744</v>
      </c>
      <c r="BX103" s="57" t="s">
        <v>929</v>
      </c>
      <c r="BY103" s="66" t="str">
        <f t="shared" si="68"/>
        <v>ДП Viva.1.(ні)</v>
      </c>
      <c r="CA103" s="217" t="s">
        <v>1046</v>
      </c>
      <c r="CB103" s="126" t="s">
        <v>929</v>
      </c>
      <c r="CC103" s="127" t="str">
        <f t="shared" si="73"/>
        <v>ДП PIANO.фальц.неробоча.(ні)</v>
      </c>
      <c r="CE103" s="220" t="s">
        <v>1843</v>
      </c>
      <c r="CF103" s="129" t="s">
        <v>953</v>
      </c>
      <c r="CG103" s="130" t="str">
        <f t="shared" si="76"/>
        <v>ДП Neapol.фальц.робоча.ВВ</v>
      </c>
      <c r="CW103" s="113"/>
      <c r="CY103" s="41"/>
      <c r="CZ103" s="52"/>
      <c r="DA103" s="66"/>
      <c r="DD103" s="157" t="s">
        <v>532</v>
      </c>
      <c r="DE103" s="158">
        <v>5040</v>
      </c>
      <c r="DF103" s="490">
        <f t="shared" si="65"/>
        <v>5040</v>
      </c>
      <c r="DG103" s="491"/>
      <c r="DH103" s="492">
        <f t="shared" si="66"/>
        <v>5040</v>
      </c>
      <c r="DP103" s="56" t="s">
        <v>1878</v>
      </c>
      <c r="DQ103" s="97">
        <v>0</v>
      </c>
      <c r="DR103" s="503">
        <f t="shared" si="59"/>
        <v>0</v>
      </c>
      <c r="DS103" s="487"/>
      <c r="DT103" s="486">
        <f t="shared" si="60"/>
        <v>0</v>
      </c>
      <c r="DU103" s="158"/>
      <c r="DV103" s="157" t="s">
        <v>1759</v>
      </c>
      <c r="DW103" s="158">
        <v>0</v>
      </c>
      <c r="DX103" s="490">
        <f t="shared" si="74"/>
        <v>0</v>
      </c>
      <c r="DY103" s="491"/>
      <c r="DZ103" s="492">
        <f t="shared" si="75"/>
        <v>0</v>
      </c>
      <c r="EG103" s="157"/>
      <c r="EH103" s="154" t="s">
        <v>1642</v>
      </c>
      <c r="EI103" s="155">
        <v>0</v>
      </c>
      <c r="EJ103" s="504">
        <f>ROUND(((EI103-(EI103/6))/$DD$3)*$DE$3,2)</f>
        <v>0</v>
      </c>
      <c r="EK103" s="496"/>
      <c r="EL103" s="497">
        <f>IF(EK103="",EJ103,
IF(AND($EI$10&gt;=VLOOKUP(EK103,$EH$5:$EL$9,2,0),$EI$10&lt;=VLOOKUP(EK103,$EH$5:$EL$9,3,0)),
(EJ103*(1-VLOOKUP(EK103,$EH$5:$EL$9,4,0))),
EJ103))</f>
        <v>0</v>
      </c>
    </row>
    <row r="104" spans="3:142" x14ac:dyDescent="0.2">
      <c r="C104" s="20"/>
      <c r="D104" s="20"/>
      <c r="L104" s="54" t="s">
        <v>439</v>
      </c>
      <c r="M104" s="44" t="s">
        <v>433</v>
      </c>
      <c r="N104" s="85" t="s">
        <v>735</v>
      </c>
      <c r="O104" s="403" t="s">
        <v>195</v>
      </c>
      <c r="Q104" s="54" t="s">
        <v>449</v>
      </c>
      <c r="R104" s="89" t="s">
        <v>154</v>
      </c>
      <c r="S104" s="85" t="s">
        <v>24</v>
      </c>
      <c r="U104" s="146"/>
      <c r="V104" s="143"/>
      <c r="W104" s="151"/>
      <c r="AU104" s="220" t="s">
        <v>369</v>
      </c>
      <c r="AV104" s="140" t="s">
        <v>148</v>
      </c>
      <c r="AW104" s="130" t="str">
        <f t="shared" si="67"/>
        <v>ФР ECO-FIT.B</v>
      </c>
      <c r="AY104" s="209" t="s">
        <v>416</v>
      </c>
      <c r="AZ104" s="58" t="s">
        <v>303</v>
      </c>
      <c r="BA104" s="131" t="str">
        <f t="shared" si="1"/>
        <v>ДП BERGAMO.4A.купе</v>
      </c>
      <c r="BW104" s="56" t="s">
        <v>1747</v>
      </c>
      <c r="BX104" s="57" t="s">
        <v>139</v>
      </c>
      <c r="BY104" s="66" t="str">
        <f t="shared" si="68"/>
        <v>ДП Viva.2.Сатин</v>
      </c>
      <c r="CA104" s="220" t="s">
        <v>1046</v>
      </c>
      <c r="CB104" s="19" t="s">
        <v>1156</v>
      </c>
      <c r="CC104" s="130" t="str">
        <f t="shared" si="73"/>
        <v>ДП PIANO.фальц.неробоча.Пл Stand +3завіс</v>
      </c>
      <c r="CE104" s="209" t="s">
        <v>1843</v>
      </c>
      <c r="CF104" s="58" t="s">
        <v>198</v>
      </c>
      <c r="CG104" s="131" t="str">
        <f t="shared" si="76"/>
        <v>ДП Neapol.фальц.робоча.ВП</v>
      </c>
      <c r="CW104" s="113"/>
      <c r="CY104" s="41"/>
      <c r="CZ104" s="52"/>
      <c r="DA104" s="66"/>
      <c r="DD104" s="157" t="s">
        <v>1463</v>
      </c>
      <c r="DE104" s="158">
        <v>5800</v>
      </c>
      <c r="DF104" s="490">
        <f t="shared" si="65"/>
        <v>5800</v>
      </c>
      <c r="DG104" s="491"/>
      <c r="DH104" s="492">
        <f t="shared" si="66"/>
        <v>5800</v>
      </c>
      <c r="DP104" s="56" t="s">
        <v>1766</v>
      </c>
      <c r="DQ104" s="97">
        <v>0</v>
      </c>
      <c r="DR104" s="503">
        <f t="shared" si="59"/>
        <v>0</v>
      </c>
      <c r="DS104" s="487"/>
      <c r="DT104" s="486">
        <f t="shared" si="60"/>
        <v>0</v>
      </c>
      <c r="DU104" s="158"/>
      <c r="DV104" s="157" t="s">
        <v>1760</v>
      </c>
      <c r="DW104" s="158">
        <v>0</v>
      </c>
      <c r="DX104" s="490">
        <f>ROUND(((DW104-(DW104/6))/$DD$3)*$DE$3,2)</f>
        <v>0</v>
      </c>
      <c r="DY104" s="491"/>
      <c r="DZ104" s="492">
        <f>IF(DY104="",DX104,
IF(AND($DW$10&gt;=VLOOKUP(DY104,$DV$5:$DZ$9,2,0),$DW$10&lt;=VLOOKUP(DY104,$DV$5:$DZ$9,3,0)),
(DX104*(1-VLOOKUP(DY104,$DV$5:$DZ$9,4,0))),
DX104))</f>
        <v>0</v>
      </c>
      <c r="EG104" s="157"/>
      <c r="EH104" s="154" t="s">
        <v>1643</v>
      </c>
      <c r="EI104" s="155">
        <v>0</v>
      </c>
      <c r="EJ104" s="504">
        <f>ROUND(((EI104-(EI104/6))/$DD$3)*$DE$3,2)</f>
        <v>0</v>
      </c>
      <c r="EK104" s="496"/>
      <c r="EL104" s="497">
        <f>IF(EK104="",EJ104,
IF(AND($EI$10&gt;=VLOOKUP(EK104,$EH$5:$EL$9,2,0),$EI$10&lt;=VLOOKUP(EK104,$EH$5:$EL$9,3,0)),
(EJ104*(1-VLOOKUP(EK104,$EH$5:$EL$9,4,0))),
EJ104))</f>
        <v>0</v>
      </c>
    </row>
    <row r="105" spans="3:142" x14ac:dyDescent="0.2">
      <c r="C105" s="20"/>
      <c r="D105" s="20"/>
      <c r="L105" s="54"/>
      <c r="M105" s="44"/>
      <c r="N105" s="85"/>
      <c r="O105" s="403"/>
      <c r="Q105" s="54" t="s">
        <v>450</v>
      </c>
      <c r="R105" s="89" t="s">
        <v>155</v>
      </c>
      <c r="S105" s="85" t="s">
        <v>25</v>
      </c>
      <c r="U105" s="146"/>
      <c r="V105" s="143"/>
      <c r="W105" s="151"/>
      <c r="AU105" s="220" t="s">
        <v>369</v>
      </c>
      <c r="AV105" s="140" t="s">
        <v>293</v>
      </c>
      <c r="AW105" s="130" t="str">
        <f t="shared" si="67"/>
        <v>ФР ECO-FIT.B+</v>
      </c>
      <c r="AY105" s="657"/>
      <c r="AZ105" s="658"/>
      <c r="BA105" s="659"/>
      <c r="BW105" s="56" t="s">
        <v>1747</v>
      </c>
      <c r="BX105" s="57" t="s">
        <v>1546</v>
      </c>
      <c r="BY105" s="66" t="str">
        <f t="shared" si="68"/>
        <v>ДП Viva.2.Лакобель</v>
      </c>
      <c r="CA105" s="217" t="s">
        <v>1047</v>
      </c>
      <c r="CB105" s="126" t="s">
        <v>929</v>
      </c>
      <c r="CC105" s="127" t="str">
        <f t="shared" si="73"/>
        <v>ДП PIANO.купе.робоча.(ні)</v>
      </c>
      <c r="CE105" s="217" t="s">
        <v>1844</v>
      </c>
      <c r="CF105" s="129"/>
      <c r="CG105" s="130" t="str">
        <f t="shared" si="76"/>
        <v>ДП Neapol.фальц.неробоча.</v>
      </c>
      <c r="CW105" s="113"/>
      <c r="CY105" s="41"/>
      <c r="CZ105" s="52"/>
      <c r="DA105" s="66"/>
      <c r="DD105" s="595"/>
      <c r="DE105" s="596"/>
      <c r="DF105" s="597"/>
      <c r="DG105" s="598"/>
      <c r="DH105" s="599"/>
      <c r="DP105" s="56" t="s">
        <v>1853</v>
      </c>
      <c r="DQ105" s="97">
        <v>520</v>
      </c>
      <c r="DR105" s="503">
        <f t="shared" si="59"/>
        <v>520</v>
      </c>
      <c r="DS105" s="487"/>
      <c r="DT105" s="486">
        <f t="shared" si="60"/>
        <v>520</v>
      </c>
      <c r="DU105" s="158"/>
      <c r="DV105" s="157" t="s">
        <v>1761</v>
      </c>
      <c r="DW105" s="158">
        <v>0</v>
      </c>
      <c r="DX105" s="490">
        <f t="shared" si="74"/>
        <v>0</v>
      </c>
      <c r="DY105" s="491"/>
      <c r="DZ105" s="492">
        <f t="shared" si="75"/>
        <v>0</v>
      </c>
      <c r="EG105" s="157"/>
      <c r="EH105" s="100" t="s">
        <v>1644</v>
      </c>
      <c r="EI105" s="156">
        <v>2040</v>
      </c>
      <c r="EJ105" s="498">
        <f>ROUND(((EI105-(EI105/6))/$DD$3)*$DE$3,2)</f>
        <v>2040</v>
      </c>
      <c r="EK105" s="493"/>
      <c r="EL105" s="494">
        <f>IF(EK105="",EJ105,
IF(AND($EI$10&gt;=VLOOKUP(EK105,$EH$5:$EL$9,2,0),$EI$10&lt;=VLOOKUP(EK105,$EH$5:$EL$9,3,0)),
(EJ105*(1-VLOOKUP(EK105,$EH$5:$EL$9,4,0))),
EJ105))</f>
        <v>2040</v>
      </c>
    </row>
    <row r="106" spans="3:142" x14ac:dyDescent="0.2">
      <c r="C106" s="20"/>
      <c r="D106" s="20"/>
      <c r="L106" s="54" t="s">
        <v>1839</v>
      </c>
      <c r="M106" s="44" t="s">
        <v>1840</v>
      </c>
      <c r="N106" s="85" t="s">
        <v>1841</v>
      </c>
      <c r="O106" s="403" t="s">
        <v>195</v>
      </c>
      <c r="Q106" s="54"/>
      <c r="R106" s="89"/>
      <c r="S106" s="85"/>
      <c r="U106" s="146"/>
      <c r="V106" s="143"/>
      <c r="W106" s="151"/>
      <c r="AU106" s="220" t="s">
        <v>369</v>
      </c>
      <c r="AV106" s="140" t="s">
        <v>149</v>
      </c>
      <c r="AW106" s="130" t="str">
        <f t="shared" si="67"/>
        <v>ФР ECO-FIT.C</v>
      </c>
      <c r="AY106" s="220" t="s">
        <v>417</v>
      </c>
      <c r="AZ106" s="129" t="s">
        <v>302</v>
      </c>
      <c r="BA106" s="130" t="str">
        <f t="shared" si="1"/>
        <v>ДП GRANDE.1.фальц</v>
      </c>
      <c r="BW106" s="208"/>
      <c r="BX106" s="208"/>
      <c r="BY106" s="208"/>
      <c r="CA106" s="220" t="s">
        <v>1047</v>
      </c>
      <c r="CB106" s="129" t="s">
        <v>140</v>
      </c>
      <c r="CC106" s="130" t="str">
        <f t="shared" si="73"/>
        <v>ДП PIANO.купе.робоча.Ручка-Захват</v>
      </c>
      <c r="CE106" s="220" t="s">
        <v>1844</v>
      </c>
      <c r="CF106" s="129" t="s">
        <v>953</v>
      </c>
      <c r="CG106" s="130" t="str">
        <f t="shared" si="76"/>
        <v>ДП Neapol.фальц.неробоча.ВВ</v>
      </c>
      <c r="CW106" s="113"/>
      <c r="CY106" s="41"/>
      <c r="CZ106" s="52"/>
      <c r="DA106" s="66"/>
      <c r="DD106" s="157" t="s">
        <v>533</v>
      </c>
      <c r="DE106" s="158">
        <v>5270</v>
      </c>
      <c r="DF106" s="490">
        <f t="shared" ref="DF106:DF125" si="77">ROUND(((DE106-(DE106/6))/$DD$3)*$DE$3,2)</f>
        <v>5270</v>
      </c>
      <c r="DG106" s="491"/>
      <c r="DH106" s="492">
        <f t="shared" ref="DH106:DH125" si="78">IF(DG106="",DF106,
IF(AND($DE$10&gt;=VLOOKUP(DG106,$DD$5:$DH$9,2,0),$DE$10&lt;=VLOOKUP(DG106,$DD$5:$DH$9,3,0)),
(DF106*(1-VLOOKUP(DG106,$DD$5:$DH$9,4,0))),
DF106))</f>
        <v>5270</v>
      </c>
      <c r="DP106" s="241"/>
      <c r="DQ106" s="242"/>
      <c r="DR106" s="489"/>
      <c r="DS106" s="499"/>
      <c r="DT106" s="244"/>
      <c r="DU106" s="158"/>
      <c r="DV106" s="157" t="s">
        <v>1762</v>
      </c>
      <c r="DW106" s="158">
        <v>0</v>
      </c>
      <c r="DX106" s="490">
        <f>ROUND(((DW106-(DW106/6))/$DD$3)*$DE$3,2)</f>
        <v>0</v>
      </c>
      <c r="DY106" s="491"/>
      <c r="DZ106" s="492">
        <f>IF(DY106="",DX106,
IF(AND($DW$10&gt;=VLOOKUP(DY106,$DV$5:$DZ$9,2,0),$DW$10&lt;=VLOOKUP(DY106,$DV$5:$DZ$9,3,0)),
(DX106*(1-VLOOKUP(DY106,$DV$5:$DZ$9,4,0))),
DX106))</f>
        <v>0</v>
      </c>
      <c r="EG106" s="157"/>
      <c r="EH106" s="100" t="s">
        <v>1645</v>
      </c>
      <c r="EI106" s="156">
        <v>2450</v>
      </c>
      <c r="EJ106" s="498">
        <f>ROUND(((EI106-(EI106/6))/$DD$3)*$DE$3,2)</f>
        <v>2450</v>
      </c>
      <c r="EK106" s="493"/>
      <c r="EL106" s="494">
        <f>IF(EK106="",EJ106,
IF(AND($EI$10&gt;=VLOOKUP(EK106,$EH$5:$EL$9,2,0),$EI$10&lt;=VLOOKUP(EK106,$EH$5:$EL$9,3,0)),
(EJ106*(1-VLOOKUP(EK106,$EH$5:$EL$9,4,0))),
EJ106))</f>
        <v>2450</v>
      </c>
    </row>
    <row r="107" spans="3:142" ht="12.75" customHeight="1" x14ac:dyDescent="0.2">
      <c r="C107" s="20"/>
      <c r="D107" s="20"/>
      <c r="L107" s="54" t="s">
        <v>1842</v>
      </c>
      <c r="M107" s="44" t="s">
        <v>1840</v>
      </c>
      <c r="N107" s="85" t="s">
        <v>1841</v>
      </c>
      <c r="O107" s="403" t="s">
        <v>195</v>
      </c>
      <c r="Q107" s="145" t="s">
        <v>1687</v>
      </c>
      <c r="R107" s="89" t="s">
        <v>147</v>
      </c>
      <c r="S107" s="85" t="s">
        <v>17</v>
      </c>
      <c r="U107" s="146"/>
      <c r="V107" s="143"/>
      <c r="W107" s="151"/>
      <c r="AU107" s="220" t="s">
        <v>369</v>
      </c>
      <c r="AV107" s="140" t="s">
        <v>150</v>
      </c>
      <c r="AW107" s="130" t="str">
        <f t="shared" si="67"/>
        <v>ФР ECO-FIT.D</v>
      </c>
      <c r="AY107" s="209" t="s">
        <v>417</v>
      </c>
      <c r="AZ107" s="58" t="s">
        <v>303</v>
      </c>
      <c r="BA107" s="131" t="str">
        <f t="shared" si="1"/>
        <v>ДП GRANDE.1.купе</v>
      </c>
      <c r="BW107" s="56" t="s">
        <v>432</v>
      </c>
      <c r="BX107" s="57" t="s">
        <v>929</v>
      </c>
      <c r="BY107" s="66" t="str">
        <f t="shared" si="68"/>
        <v>ДП VIENTO.1.(ні)</v>
      </c>
      <c r="CA107" s="220" t="s">
        <v>1047</v>
      </c>
      <c r="CB107" s="129" t="s">
        <v>192</v>
      </c>
      <c r="CC107" s="130" t="str">
        <f t="shared" si="73"/>
        <v>ДП PIANO.купе.робоча.Ручка-Замок</v>
      </c>
      <c r="CE107" s="209" t="s">
        <v>1844</v>
      </c>
      <c r="CF107" s="58" t="s">
        <v>198</v>
      </c>
      <c r="CG107" s="131" t="str">
        <f t="shared" si="76"/>
        <v>ДП Neapol.фальц.неробоча.ВП</v>
      </c>
      <c r="CW107" s="113"/>
      <c r="CY107" s="41"/>
      <c r="CZ107" s="52"/>
      <c r="DA107" s="66"/>
      <c r="DD107" s="157" t="s">
        <v>1464</v>
      </c>
      <c r="DE107" s="158">
        <v>6110</v>
      </c>
      <c r="DF107" s="490">
        <f t="shared" si="77"/>
        <v>6110</v>
      </c>
      <c r="DG107" s="491"/>
      <c r="DH107" s="492">
        <f t="shared" si="78"/>
        <v>6110</v>
      </c>
      <c r="DP107" s="56" t="s">
        <v>950</v>
      </c>
      <c r="DQ107" s="97">
        <v>0</v>
      </c>
      <c r="DR107" s="503">
        <f t="shared" si="59"/>
        <v>0</v>
      </c>
      <c r="DS107" s="487"/>
      <c r="DT107" s="486">
        <f t="shared" si="60"/>
        <v>0</v>
      </c>
      <c r="DU107" s="158"/>
      <c r="DV107" s="56" t="s">
        <v>1763</v>
      </c>
      <c r="DW107" s="97">
        <v>0</v>
      </c>
      <c r="DX107" s="607">
        <f t="shared" si="74"/>
        <v>0</v>
      </c>
      <c r="DY107" s="487"/>
      <c r="DZ107" s="486">
        <f t="shared" si="75"/>
        <v>0</v>
      </c>
      <c r="EG107" s="157"/>
      <c r="EH107" s="505"/>
      <c r="EI107" s="506"/>
      <c r="EJ107" s="609"/>
      <c r="EK107" s="610"/>
      <c r="EL107" s="611"/>
    </row>
    <row r="108" spans="3:142" x14ac:dyDescent="0.2">
      <c r="C108" s="20"/>
      <c r="D108" s="20"/>
      <c r="L108" s="54"/>
      <c r="M108" s="44"/>
      <c r="N108" s="85"/>
      <c r="O108" s="403"/>
      <c r="Q108" s="146" t="s">
        <v>1689</v>
      </c>
      <c r="R108" s="89" t="s">
        <v>148</v>
      </c>
      <c r="S108" s="85" t="s">
        <v>18</v>
      </c>
      <c r="U108" s="146"/>
      <c r="V108" s="143"/>
      <c r="W108" s="151"/>
      <c r="AU108" s="220" t="s">
        <v>369</v>
      </c>
      <c r="AV108" s="140" t="s">
        <v>151</v>
      </c>
      <c r="AW108" s="130" t="str">
        <f t="shared" si="67"/>
        <v>ФР ECO-FIT.E</v>
      </c>
      <c r="AY108" s="220" t="s">
        <v>419</v>
      </c>
      <c r="AZ108" s="129" t="s">
        <v>302</v>
      </c>
      <c r="BA108" s="130" t="str">
        <f t="shared" si="1"/>
        <v>ДП GRANDE.2.фальц</v>
      </c>
      <c r="BW108" s="56" t="s">
        <v>434</v>
      </c>
      <c r="BX108" s="57" t="s">
        <v>139</v>
      </c>
      <c r="BY108" s="66" t="str">
        <f t="shared" si="68"/>
        <v>ДП VIENTO.2.Сатин</v>
      </c>
      <c r="CA108" s="412"/>
      <c r="CB108" s="207"/>
      <c r="CC108" s="208"/>
      <c r="CE108" s="217" t="s">
        <v>1845</v>
      </c>
      <c r="CF108" s="129"/>
      <c r="CG108" s="130" t="str">
        <f t="shared" si="76"/>
        <v>ДП Neapol.купе.робоча.</v>
      </c>
      <c r="CW108" s="113"/>
      <c r="CY108" s="41"/>
      <c r="CZ108" s="52"/>
      <c r="DA108" s="66"/>
      <c r="DD108" s="157" t="s">
        <v>534</v>
      </c>
      <c r="DE108" s="158">
        <v>5270</v>
      </c>
      <c r="DF108" s="490">
        <f t="shared" si="77"/>
        <v>5270</v>
      </c>
      <c r="DG108" s="491"/>
      <c r="DH108" s="492">
        <f t="shared" si="78"/>
        <v>5270</v>
      </c>
      <c r="DP108" s="56" t="s">
        <v>632</v>
      </c>
      <c r="DQ108" s="97">
        <v>0</v>
      </c>
      <c r="DR108" s="503">
        <f t="shared" si="59"/>
        <v>0</v>
      </c>
      <c r="DS108" s="487"/>
      <c r="DT108" s="486">
        <f t="shared" si="60"/>
        <v>0</v>
      </c>
      <c r="DU108" s="158"/>
      <c r="DV108" s="157" t="s">
        <v>1764</v>
      </c>
      <c r="DW108" s="158">
        <v>0</v>
      </c>
      <c r="DX108" s="490">
        <f t="shared" si="74"/>
        <v>0</v>
      </c>
      <c r="DY108" s="491"/>
      <c r="DZ108" s="492">
        <f t="shared" si="75"/>
        <v>0</v>
      </c>
      <c r="EG108" s="157"/>
      <c r="EH108" s="154" t="s">
        <v>1646</v>
      </c>
      <c r="EI108" s="155">
        <v>0</v>
      </c>
      <c r="EJ108" s="504">
        <f>ROUND(((EI108-(EI108/6))/$DD$3)*$DE$3,2)</f>
        <v>0</v>
      </c>
      <c r="EK108" s="496"/>
      <c r="EL108" s="497">
        <f>IF(EK108="",EJ108,
IF(AND($EI$10&gt;=VLOOKUP(EK108,$EH$5:$EL$9,2,0),$EI$10&lt;=VLOOKUP(EK108,$EH$5:$EL$9,3,0)),
(EJ108*(1-VLOOKUP(EK108,$EH$5:$EL$9,4,0))),
EJ108))</f>
        <v>0</v>
      </c>
    </row>
    <row r="109" spans="3:142" x14ac:dyDescent="0.2">
      <c r="C109" s="20"/>
      <c r="D109" s="20"/>
      <c r="L109" s="54"/>
      <c r="M109" s="44"/>
      <c r="N109" s="85"/>
      <c r="O109" s="403"/>
      <c r="Q109" s="234" t="s">
        <v>1691</v>
      </c>
      <c r="R109" s="89" t="s">
        <v>293</v>
      </c>
      <c r="S109" s="85" t="s">
        <v>294</v>
      </c>
      <c r="U109" s="146"/>
      <c r="V109" s="143"/>
      <c r="W109" s="151"/>
      <c r="AU109" s="220" t="s">
        <v>369</v>
      </c>
      <c r="AV109" s="140" t="s">
        <v>152</v>
      </c>
      <c r="AW109" s="130" t="str">
        <f t="shared" si="67"/>
        <v>ФР ECO-FIT.F</v>
      </c>
      <c r="AY109" s="209" t="s">
        <v>419</v>
      </c>
      <c r="AZ109" s="58" t="s">
        <v>303</v>
      </c>
      <c r="BA109" s="131" t="str">
        <f t="shared" si="1"/>
        <v>ДП GRANDE.2.купе</v>
      </c>
      <c r="BW109" s="56" t="s">
        <v>435</v>
      </c>
      <c r="BX109" s="57" t="s">
        <v>139</v>
      </c>
      <c r="BY109" s="66" t="str">
        <f t="shared" si="68"/>
        <v>ДП VIENTO.3.Сатин</v>
      </c>
      <c r="CA109" s="220" t="s">
        <v>1741</v>
      </c>
      <c r="CB109" s="129" t="s">
        <v>929</v>
      </c>
      <c r="CC109" s="130" t="str">
        <f t="shared" ref="CC109:CC119" si="79">CONCATENATE(CA109,".",CB109)</f>
        <v>ДП Viva.фальц.робоча.(ні)</v>
      </c>
      <c r="CE109" s="220" t="s">
        <v>1845</v>
      </c>
      <c r="CF109" s="58" t="s">
        <v>953</v>
      </c>
      <c r="CG109" s="131" t="str">
        <f t="shared" si="76"/>
        <v>ДП Neapol.купе.робоча.ВВ</v>
      </c>
      <c r="CW109" s="113"/>
      <c r="CY109" s="41"/>
      <c r="CZ109" s="52"/>
      <c r="DA109" s="66"/>
      <c r="DD109" s="157" t="s">
        <v>1465</v>
      </c>
      <c r="DE109" s="158">
        <v>6110</v>
      </c>
      <c r="DF109" s="490">
        <f t="shared" si="77"/>
        <v>6110</v>
      </c>
      <c r="DG109" s="491"/>
      <c r="DH109" s="492">
        <f t="shared" si="78"/>
        <v>6110</v>
      </c>
      <c r="DP109" s="56" t="s">
        <v>633</v>
      </c>
      <c r="DQ109" s="97">
        <v>0</v>
      </c>
      <c r="DR109" s="503">
        <f t="shared" si="59"/>
        <v>0</v>
      </c>
      <c r="DS109" s="487"/>
      <c r="DT109" s="486">
        <f t="shared" si="60"/>
        <v>0</v>
      </c>
      <c r="DU109" s="158"/>
      <c r="DV109" s="100" t="s">
        <v>1765</v>
      </c>
      <c r="DW109" s="156">
        <v>640</v>
      </c>
      <c r="DX109" s="498">
        <f t="shared" si="74"/>
        <v>640</v>
      </c>
      <c r="DY109" s="493"/>
      <c r="DZ109" s="494">
        <f t="shared" si="75"/>
        <v>640</v>
      </c>
      <c r="EG109" s="157"/>
      <c r="EH109" s="154" t="s">
        <v>1647</v>
      </c>
      <c r="EI109" s="155">
        <v>0</v>
      </c>
      <c r="EJ109" s="504">
        <f>ROUND(((EI109-(EI109/6))/$DD$3)*$DE$3,2)</f>
        <v>0</v>
      </c>
      <c r="EK109" s="496"/>
      <c r="EL109" s="497">
        <f>IF(EK109="",EJ109,
IF(AND($EI$10&gt;=VLOOKUP(EK109,$EH$5:$EL$9,2,0),$EI$10&lt;=VLOOKUP(EK109,$EH$5:$EL$9,3,0)),
(EJ109*(1-VLOOKUP(EK109,$EH$5:$EL$9,4,0))),
EJ109))</f>
        <v>0</v>
      </c>
    </row>
    <row r="110" spans="3:142" x14ac:dyDescent="0.2">
      <c r="C110" s="20"/>
      <c r="D110" s="20"/>
      <c r="L110" s="54"/>
      <c r="M110" s="44"/>
      <c r="N110" s="85"/>
      <c r="O110" s="403"/>
      <c r="Q110" s="146" t="s">
        <v>1693</v>
      </c>
      <c r="R110" s="89" t="s">
        <v>149</v>
      </c>
      <c r="S110" s="85" t="s">
        <v>19</v>
      </c>
      <c r="U110" s="146"/>
      <c r="V110" s="143"/>
      <c r="W110" s="151"/>
      <c r="AU110" s="234" t="s">
        <v>369</v>
      </c>
      <c r="AV110" s="143" t="s">
        <v>153</v>
      </c>
      <c r="AW110" s="130" t="str">
        <f t="shared" si="67"/>
        <v>ФР ECO-FIT.G</v>
      </c>
      <c r="AY110" s="220" t="s">
        <v>420</v>
      </c>
      <c r="AZ110" s="129" t="s">
        <v>302</v>
      </c>
      <c r="BA110" s="130" t="str">
        <f t="shared" si="1"/>
        <v>ДП GRANDE.3.фальц</v>
      </c>
      <c r="BW110" s="56" t="s">
        <v>436</v>
      </c>
      <c r="BX110" s="57" t="s">
        <v>139</v>
      </c>
      <c r="BY110" s="66" t="str">
        <f t="shared" si="68"/>
        <v>ДП VIENTO.4.Сатин</v>
      </c>
      <c r="CA110" s="220" t="s">
        <v>1741</v>
      </c>
      <c r="CB110" s="19" t="s">
        <v>1340</v>
      </c>
      <c r="CC110" s="130" t="str">
        <f t="shared" si="79"/>
        <v>ДП Viva.фальц.робоча.Stand цл Лів +3завіс</v>
      </c>
      <c r="CW110" s="113"/>
      <c r="CY110" s="535"/>
      <c r="CZ110" s="526"/>
      <c r="DA110" s="527"/>
      <c r="DD110" s="157" t="s">
        <v>535</v>
      </c>
      <c r="DE110" s="158">
        <v>5270</v>
      </c>
      <c r="DF110" s="490">
        <f t="shared" si="77"/>
        <v>5270</v>
      </c>
      <c r="DG110" s="491"/>
      <c r="DH110" s="492">
        <f t="shared" si="78"/>
        <v>5270</v>
      </c>
      <c r="DP110" s="56" t="s">
        <v>634</v>
      </c>
      <c r="DQ110" s="97">
        <v>0</v>
      </c>
      <c r="DR110" s="503">
        <f t="shared" si="59"/>
        <v>0</v>
      </c>
      <c r="DS110" s="487"/>
      <c r="DT110" s="486">
        <f t="shared" si="60"/>
        <v>0</v>
      </c>
      <c r="DU110" s="158"/>
      <c r="DV110" s="600"/>
      <c r="DW110" s="601"/>
      <c r="DX110" s="604"/>
      <c r="DY110" s="605"/>
      <c r="DZ110" s="606"/>
      <c r="EG110" s="157"/>
      <c r="EH110" s="100" t="s">
        <v>1648</v>
      </c>
      <c r="EI110" s="156">
        <v>2120</v>
      </c>
      <c r="EJ110" s="498">
        <f>ROUND(((EI110-(EI110/6))/$DD$3)*$DE$3,2)</f>
        <v>2120</v>
      </c>
      <c r="EK110" s="493"/>
      <c r="EL110" s="494">
        <f>IF(EK110="",EJ110,
IF(AND($EI$10&gt;=VLOOKUP(EK110,$EH$5:$EL$9,2,0),$EI$10&lt;=VLOOKUP(EK110,$EH$5:$EL$9,3,0)),
(EJ110*(1-VLOOKUP(EK110,$EH$5:$EL$9,4,0))),
EJ110))</f>
        <v>2120</v>
      </c>
    </row>
    <row r="111" spans="3:142" x14ac:dyDescent="0.2">
      <c r="C111" s="20"/>
      <c r="D111" s="20"/>
      <c r="L111" s="54"/>
      <c r="M111" s="44"/>
      <c r="N111" s="85"/>
      <c r="O111" s="403"/>
      <c r="Q111" s="146" t="s">
        <v>1695</v>
      </c>
      <c r="R111" s="89" t="s">
        <v>150</v>
      </c>
      <c r="S111" s="85" t="s">
        <v>20</v>
      </c>
      <c r="U111" s="146"/>
      <c r="V111" s="143"/>
      <c r="W111" s="151"/>
      <c r="AU111" s="234" t="s">
        <v>369</v>
      </c>
      <c r="AV111" s="143" t="s">
        <v>154</v>
      </c>
      <c r="AW111" s="130" t="str">
        <f t="shared" si="67"/>
        <v>ФР ECO-FIT.H</v>
      </c>
      <c r="AY111" s="209" t="s">
        <v>420</v>
      </c>
      <c r="AZ111" s="58" t="s">
        <v>303</v>
      </c>
      <c r="BA111" s="131" t="str">
        <f t="shared" si="1"/>
        <v>ДП GRANDE.3.купе</v>
      </c>
      <c r="BW111" s="56" t="s">
        <v>437</v>
      </c>
      <c r="BX111" s="57" t="s">
        <v>139</v>
      </c>
      <c r="BY111" s="66" t="str">
        <f t="shared" si="68"/>
        <v>ДП VIENTO.5.Сатин</v>
      </c>
      <c r="CA111" s="220" t="s">
        <v>1741</v>
      </c>
      <c r="CB111" s="19" t="s">
        <v>1341</v>
      </c>
      <c r="CC111" s="130" t="str">
        <f t="shared" si="79"/>
        <v>ДП Viva.фальц.робоча.Stand цл Пр +3завіс</v>
      </c>
      <c r="CW111" s="113"/>
      <c r="DD111" s="157" t="s">
        <v>1466</v>
      </c>
      <c r="DE111" s="158">
        <v>6110</v>
      </c>
      <c r="DF111" s="490">
        <f t="shared" si="77"/>
        <v>6110</v>
      </c>
      <c r="DG111" s="491"/>
      <c r="DH111" s="492">
        <f t="shared" si="78"/>
        <v>6110</v>
      </c>
      <c r="DP111" s="56" t="s">
        <v>635</v>
      </c>
      <c r="DQ111" s="97">
        <v>0</v>
      </c>
      <c r="DR111" s="503">
        <f t="shared" si="59"/>
        <v>0</v>
      </c>
      <c r="DS111" s="487"/>
      <c r="DT111" s="486">
        <f t="shared" si="60"/>
        <v>0</v>
      </c>
      <c r="DU111" s="158"/>
      <c r="DV111" s="56" t="s">
        <v>946</v>
      </c>
      <c r="DW111" s="97">
        <v>0</v>
      </c>
      <c r="DX111" s="388">
        <f t="shared" ref="DX111:DX120" si="80">ROUND(((DW111-(DW111/6))/$DD$3)*$DE$3,2)</f>
        <v>0</v>
      </c>
      <c r="DY111" s="487"/>
      <c r="DZ111" s="486">
        <f t="shared" ref="DZ111:DZ120" si="81">IF(DY111="",DX111,
IF(AND($DW$10&gt;=VLOOKUP(DY111,$DV$5:$DZ$9,2,0),$DW$10&lt;=VLOOKUP(DY111,$DV$5:$DZ$9,3,0)),
(DX111*(1-VLOOKUP(DY111,$DV$5:$DZ$9,4,0))),
DX111))</f>
        <v>0</v>
      </c>
      <c r="EG111" s="157"/>
      <c r="EH111" s="100" t="s">
        <v>1649</v>
      </c>
      <c r="EI111" s="156">
        <v>2560</v>
      </c>
      <c r="EJ111" s="498">
        <f>ROUND(((EI111-(EI111/6))/$DD$3)*$DE$3,2)</f>
        <v>2560</v>
      </c>
      <c r="EK111" s="493"/>
      <c r="EL111" s="494">
        <f>IF(EK111="",EJ111,
IF(AND($EI$10&gt;=VLOOKUP(EK111,$EH$5:$EL$9,2,0),$EI$10&lt;=VLOOKUP(EK111,$EH$5:$EL$9,3,0)),
(EJ111*(1-VLOOKUP(EK111,$EH$5:$EL$9,4,0))),
EJ111))</f>
        <v>2560</v>
      </c>
    </row>
    <row r="112" spans="3:142" x14ac:dyDescent="0.2">
      <c r="C112" s="20"/>
      <c r="D112" s="20"/>
      <c r="L112" s="54"/>
      <c r="M112" s="44"/>
      <c r="N112" s="85"/>
      <c r="O112" s="403"/>
      <c r="Q112" s="146" t="s">
        <v>1697</v>
      </c>
      <c r="R112" s="89" t="s">
        <v>151</v>
      </c>
      <c r="S112" s="85" t="s">
        <v>21</v>
      </c>
      <c r="U112" s="146"/>
      <c r="V112" s="143"/>
      <c r="W112" s="151"/>
      <c r="AU112" s="234" t="s">
        <v>369</v>
      </c>
      <c r="AV112" s="143" t="s">
        <v>155</v>
      </c>
      <c r="AW112" s="130" t="str">
        <f t="shared" si="67"/>
        <v>ФР ECO-FIT.I</v>
      </c>
      <c r="AY112" s="220" t="s">
        <v>421</v>
      </c>
      <c r="AZ112" s="129" t="s">
        <v>302</v>
      </c>
      <c r="BA112" s="130" t="str">
        <f t="shared" si="1"/>
        <v>ДП GRANDE.4.фальц</v>
      </c>
      <c r="BW112" s="56" t="s">
        <v>438</v>
      </c>
      <c r="BX112" s="57" t="s">
        <v>139</v>
      </c>
      <c r="BY112" s="66" t="str">
        <f t="shared" si="68"/>
        <v>ДП VIENTO.1A.Сатин</v>
      </c>
      <c r="CA112" s="220" t="s">
        <v>1741</v>
      </c>
      <c r="CC112" s="130"/>
      <c r="CW112" s="113"/>
      <c r="DD112" s="157" t="s">
        <v>536</v>
      </c>
      <c r="DE112" s="158">
        <v>5270</v>
      </c>
      <c r="DF112" s="490">
        <f t="shared" si="77"/>
        <v>5270</v>
      </c>
      <c r="DG112" s="491"/>
      <c r="DH112" s="492">
        <f t="shared" si="78"/>
        <v>5270</v>
      </c>
      <c r="DP112" s="56" t="s">
        <v>636</v>
      </c>
      <c r="DQ112" s="97">
        <v>0</v>
      </c>
      <c r="DR112" s="503">
        <f t="shared" si="59"/>
        <v>0</v>
      </c>
      <c r="DS112" s="487"/>
      <c r="DT112" s="486">
        <f t="shared" si="60"/>
        <v>0</v>
      </c>
      <c r="DU112" s="158"/>
      <c r="DV112" s="154" t="s">
        <v>1382</v>
      </c>
      <c r="DW112" s="155">
        <v>0</v>
      </c>
      <c r="DX112" s="495">
        <f t="shared" si="80"/>
        <v>0</v>
      </c>
      <c r="DY112" s="496"/>
      <c r="DZ112" s="497">
        <f t="shared" si="81"/>
        <v>0</v>
      </c>
      <c r="EG112" s="157"/>
      <c r="EH112" s="505"/>
      <c r="EI112" s="506"/>
      <c r="EJ112" s="609"/>
      <c r="EK112" s="610"/>
      <c r="EL112" s="611"/>
    </row>
    <row r="113" spans="3:142" x14ac:dyDescent="0.2">
      <c r="C113" s="20"/>
      <c r="D113" s="20"/>
      <c r="L113" s="648"/>
      <c r="M113" s="649"/>
      <c r="N113" s="649"/>
      <c r="O113" s="650"/>
      <c r="P113" s="650"/>
      <c r="Q113" s="146" t="s">
        <v>1699</v>
      </c>
      <c r="R113" s="89" t="s">
        <v>152</v>
      </c>
      <c r="S113" s="85" t="s">
        <v>22</v>
      </c>
      <c r="U113" s="146"/>
      <c r="V113" s="143"/>
      <c r="W113" s="151"/>
      <c r="AU113" s="41"/>
      <c r="AV113" s="42"/>
      <c r="AW113" s="66"/>
      <c r="AY113" s="209" t="s">
        <v>421</v>
      </c>
      <c r="AZ113" s="58" t="s">
        <v>303</v>
      </c>
      <c r="BA113" s="131" t="str">
        <f t="shared" si="1"/>
        <v>ДП GRANDE.4.купе</v>
      </c>
      <c r="BW113" s="56" t="s">
        <v>439</v>
      </c>
      <c r="BX113" s="57" t="s">
        <v>139</v>
      </c>
      <c r="BY113" s="66" t="str">
        <f t="shared" si="68"/>
        <v>ДП VIENTO.2A.Сатин</v>
      </c>
      <c r="CA113" s="220" t="s">
        <v>1741</v>
      </c>
      <c r="CB113" s="19" t="s">
        <v>1344</v>
      </c>
      <c r="CC113" s="130" t="str">
        <f t="shared" si="79"/>
        <v>ДП Viva.фальц.робоча.Stand ст Лів +3завіс</v>
      </c>
      <c r="CW113" s="113"/>
      <c r="DD113" s="157" t="s">
        <v>1467</v>
      </c>
      <c r="DE113" s="158">
        <v>6110</v>
      </c>
      <c r="DF113" s="490">
        <f t="shared" si="77"/>
        <v>6110</v>
      </c>
      <c r="DG113" s="491"/>
      <c r="DH113" s="492">
        <f t="shared" si="78"/>
        <v>6110</v>
      </c>
      <c r="DP113" s="56" t="s">
        <v>637</v>
      </c>
      <c r="DQ113" s="97">
        <v>0</v>
      </c>
      <c r="DR113" s="503">
        <f t="shared" si="59"/>
        <v>0</v>
      </c>
      <c r="DS113" s="487"/>
      <c r="DT113" s="486">
        <f t="shared" si="60"/>
        <v>0</v>
      </c>
      <c r="DU113" s="158"/>
      <c r="DV113" s="154" t="s">
        <v>1383</v>
      </c>
      <c r="DW113" s="158">
        <v>0</v>
      </c>
      <c r="DX113" s="490">
        <f>ROUND(((DW113-(DW113/6))/$DD$3)*$DE$3,2)</f>
        <v>0</v>
      </c>
      <c r="DY113" s="491"/>
      <c r="DZ113" s="492">
        <f>IF(DY113="",DX113,
IF(AND($DW$10&gt;=VLOOKUP(DY113,$DV$5:$DZ$9,2,0),$DW$10&lt;=VLOOKUP(DY113,$DV$5:$DZ$9,3,0)),
(DX113*(1-VLOOKUP(DY113,$DV$5:$DZ$9,4,0))),
DX113))</f>
        <v>0</v>
      </c>
      <c r="EG113" s="157"/>
      <c r="EH113" s="154" t="s">
        <v>1650</v>
      </c>
      <c r="EI113" s="155">
        <v>0</v>
      </c>
      <c r="EJ113" s="504">
        <f>ROUND(((EI113-(EI113/6))/$DD$3)*$DE$3,2)</f>
        <v>0</v>
      </c>
      <c r="EK113" s="496"/>
      <c r="EL113" s="497">
        <f>IF(EK113="",EJ113,
IF(AND($EI$10&gt;=VLOOKUP(EK113,$EH$5:$EL$9,2,0),$EI$10&lt;=VLOOKUP(EK113,$EH$5:$EL$9,3,0)),
(EJ113*(1-VLOOKUP(EK113,$EH$5:$EL$9,4,0))),
EJ113))</f>
        <v>0</v>
      </c>
    </row>
    <row r="114" spans="3:142" x14ac:dyDescent="0.2">
      <c r="C114" s="20"/>
      <c r="D114" s="20"/>
      <c r="L114" s="54"/>
      <c r="M114" s="44"/>
      <c r="N114" s="85"/>
      <c r="O114" s="403"/>
      <c r="Q114" s="146" t="s">
        <v>1701</v>
      </c>
      <c r="R114" s="89" t="s">
        <v>153</v>
      </c>
      <c r="S114" s="85" t="s">
        <v>23</v>
      </c>
      <c r="U114" s="146"/>
      <c r="V114" s="143"/>
      <c r="W114" s="151"/>
      <c r="AU114" s="44"/>
      <c r="AV114" s="44"/>
      <c r="AW114" s="44"/>
      <c r="AY114" s="220" t="s">
        <v>422</v>
      </c>
      <c r="AZ114" s="129" t="s">
        <v>302</v>
      </c>
      <c r="BA114" s="130" t="str">
        <f t="shared" si="1"/>
        <v>ДП GRANDE.5.фальц</v>
      </c>
      <c r="BW114" s="208"/>
      <c r="BX114" s="208"/>
      <c r="BY114" s="208"/>
      <c r="CA114" s="220" t="s">
        <v>1741</v>
      </c>
      <c r="CB114" s="19" t="s">
        <v>1345</v>
      </c>
      <c r="CC114" s="130" t="str">
        <f t="shared" si="79"/>
        <v>ДП Viva.фальц.робоча.Stand ст Пр +3завіс</v>
      </c>
      <c r="CW114" s="113"/>
      <c r="DD114" s="157" t="s">
        <v>537</v>
      </c>
      <c r="DE114" s="158">
        <v>5270</v>
      </c>
      <c r="DF114" s="490">
        <f t="shared" si="77"/>
        <v>5270</v>
      </c>
      <c r="DG114" s="491"/>
      <c r="DH114" s="492">
        <f t="shared" si="78"/>
        <v>5270</v>
      </c>
      <c r="DP114" s="241"/>
      <c r="DQ114" s="242"/>
      <c r="DR114" s="489"/>
      <c r="DS114" s="499"/>
      <c r="DT114" s="244"/>
      <c r="DU114" s="158"/>
      <c r="DV114" s="157" t="s">
        <v>1384</v>
      </c>
      <c r="DW114" s="158">
        <v>0</v>
      </c>
      <c r="DX114" s="490">
        <f t="shared" si="80"/>
        <v>0</v>
      </c>
      <c r="DY114" s="491"/>
      <c r="DZ114" s="492">
        <f t="shared" si="81"/>
        <v>0</v>
      </c>
      <c r="EG114" s="157"/>
      <c r="EH114" s="154" t="s">
        <v>1651</v>
      </c>
      <c r="EI114" s="155">
        <v>0</v>
      </c>
      <c r="EJ114" s="504">
        <f>ROUND(((EI114-(EI114/6))/$DD$3)*$DE$3,2)</f>
        <v>0</v>
      </c>
      <c r="EK114" s="496"/>
      <c r="EL114" s="497">
        <f>IF(EK114="",EJ114,
IF(AND($EI$10&gt;=VLOOKUP(EK114,$EH$5:$EL$9,2,0),$EI$10&lt;=VLOOKUP(EK114,$EH$5:$EL$9,3,0)),
(EJ114*(1-VLOOKUP(EK114,$EH$5:$EL$9,4,0))),
EJ114))</f>
        <v>0</v>
      </c>
    </row>
    <row r="115" spans="3:142" x14ac:dyDescent="0.2">
      <c r="C115" s="20"/>
      <c r="D115" s="20"/>
      <c r="L115" s="54" t="s">
        <v>440</v>
      </c>
      <c r="M115" s="44" t="s">
        <v>274</v>
      </c>
      <c r="N115" s="85" t="s">
        <v>736</v>
      </c>
      <c r="O115" s="403" t="s">
        <v>196</v>
      </c>
      <c r="Q115" s="146" t="s">
        <v>1703</v>
      </c>
      <c r="R115" s="89" t="s">
        <v>154</v>
      </c>
      <c r="S115" s="85" t="s">
        <v>24</v>
      </c>
      <c r="U115" s="146"/>
      <c r="V115" s="143"/>
      <c r="W115" s="151"/>
      <c r="AU115" s="44"/>
      <c r="AV115" s="44"/>
      <c r="AW115" s="44"/>
      <c r="AY115" s="209" t="s">
        <v>422</v>
      </c>
      <c r="AZ115" s="58" t="s">
        <v>303</v>
      </c>
      <c r="BA115" s="131" t="str">
        <f t="shared" si="1"/>
        <v>ДП GRANDE.5.купе</v>
      </c>
      <c r="BW115" s="56" t="s">
        <v>1839</v>
      </c>
      <c r="BX115" s="57" t="s">
        <v>929</v>
      </c>
      <c r="BY115" s="66" t="str">
        <f>CONCATENATE(BW115,".",BX115)</f>
        <v>ДП Neapol.1.(ні)</v>
      </c>
      <c r="CA115" s="217" t="s">
        <v>1742</v>
      </c>
      <c r="CB115" s="126" t="s">
        <v>929</v>
      </c>
      <c r="CC115" s="127" t="str">
        <f t="shared" si="79"/>
        <v>ДП Viva.фальц.неробоча.(ні)</v>
      </c>
      <c r="CW115" s="113"/>
      <c r="DD115" s="157" t="s">
        <v>1468</v>
      </c>
      <c r="DE115" s="158">
        <v>6110</v>
      </c>
      <c r="DF115" s="490">
        <f t="shared" si="77"/>
        <v>6110</v>
      </c>
      <c r="DG115" s="491"/>
      <c r="DH115" s="492">
        <f t="shared" si="78"/>
        <v>6110</v>
      </c>
      <c r="DP115" s="56" t="s">
        <v>1856</v>
      </c>
      <c r="DQ115" s="97">
        <v>0</v>
      </c>
      <c r="DR115" s="503">
        <f>ROUND(((DQ115-(DQ115/6))/$DD$3)*$DE$3,2)</f>
        <v>0</v>
      </c>
      <c r="DS115" s="487"/>
      <c r="DT115" s="486">
        <f>IF(DS115="",DR115,
IF(AND($DQ$10&gt;=VLOOKUP(DS115,$DP$5:$DT$9,2,0),$DQ$10&lt;=VLOOKUP(DS115,$DP$5:$DT$9,3,0)),
(DR115*(1-VLOOKUP(DS115,$DP$5:$DT$9,4,0))),
DR115))</f>
        <v>0</v>
      </c>
      <c r="DU115" s="158"/>
      <c r="DV115" s="157" t="s">
        <v>1385</v>
      </c>
      <c r="DW115" s="158">
        <v>0</v>
      </c>
      <c r="DX115" s="490">
        <f>ROUND(((DW115-(DW115/6))/$DD$3)*$DE$3,2)</f>
        <v>0</v>
      </c>
      <c r="DY115" s="491"/>
      <c r="DZ115" s="492">
        <f>IF(DY115="",DX115,
IF(AND($DW$10&gt;=VLOOKUP(DY115,$DV$5:$DZ$9,2,0),$DW$10&lt;=VLOOKUP(DY115,$DV$5:$DZ$9,3,0)),
(DX115*(1-VLOOKUP(DY115,$DV$5:$DZ$9,4,0))),
DX115))</f>
        <v>0</v>
      </c>
      <c r="EG115" s="157"/>
      <c r="EH115" s="100" t="s">
        <v>1652</v>
      </c>
      <c r="EI115" s="156">
        <v>2220</v>
      </c>
      <c r="EJ115" s="498">
        <f>ROUND(((EI115-(EI115/6))/$DD$3)*$DE$3,2)</f>
        <v>2220</v>
      </c>
      <c r="EK115" s="493"/>
      <c r="EL115" s="494">
        <f>IF(EK115="",EJ115,
IF(AND($EI$10&gt;=VLOOKUP(EK115,$EH$5:$EL$9,2,0),$EI$10&lt;=VLOOKUP(EK115,$EH$5:$EL$9,3,0)),
(EJ115*(1-VLOOKUP(EK115,$EH$5:$EL$9,4,0))),
EJ115))</f>
        <v>2220</v>
      </c>
    </row>
    <row r="116" spans="3:142" x14ac:dyDescent="0.2">
      <c r="C116" s="20"/>
      <c r="D116" s="20"/>
      <c r="L116" s="54"/>
      <c r="M116" s="44"/>
      <c r="N116" s="85"/>
      <c r="O116" s="403"/>
      <c r="Q116" s="147" t="s">
        <v>1705</v>
      </c>
      <c r="R116" s="89" t="s">
        <v>155</v>
      </c>
      <c r="S116" s="85" t="s">
        <v>25</v>
      </c>
      <c r="U116" s="146"/>
      <c r="V116" s="143"/>
      <c r="W116" s="151"/>
      <c r="AU116" s="44"/>
      <c r="AV116" s="44"/>
      <c r="AW116" s="44"/>
      <c r="AY116" s="220" t="s">
        <v>423</v>
      </c>
      <c r="AZ116" s="129" t="s">
        <v>302</v>
      </c>
      <c r="BA116" s="130" t="str">
        <f t="shared" si="1"/>
        <v>ДП GRANDE.6.фальц</v>
      </c>
      <c r="BW116" s="56" t="s">
        <v>1842</v>
      </c>
      <c r="BX116" s="57" t="s">
        <v>1546</v>
      </c>
      <c r="BY116" s="66" t="str">
        <f>CONCATENATE(BW116,".",BX116)</f>
        <v>ДП Neapol.2.Лакобель</v>
      </c>
      <c r="CA116" s="220" t="s">
        <v>1742</v>
      </c>
      <c r="CB116" s="19" t="s">
        <v>1156</v>
      </c>
      <c r="CC116" s="130" t="str">
        <f t="shared" si="79"/>
        <v>ДП Viva.фальц.неробоча.Пл Stand +3завіс</v>
      </c>
      <c r="CW116" s="113"/>
      <c r="DD116" s="157" t="s">
        <v>538</v>
      </c>
      <c r="DE116" s="158">
        <v>5270</v>
      </c>
      <c r="DF116" s="490">
        <f t="shared" si="77"/>
        <v>5270</v>
      </c>
      <c r="DG116" s="491"/>
      <c r="DH116" s="492">
        <f t="shared" si="78"/>
        <v>5270</v>
      </c>
      <c r="DP116" s="56" t="s">
        <v>1854</v>
      </c>
      <c r="DQ116" s="97">
        <v>0</v>
      </c>
      <c r="DR116" s="503">
        <f>ROUND(((DQ116-(DQ116/6))/$DD$3)*$DE$3,2)</f>
        <v>0</v>
      </c>
      <c r="DS116" s="487"/>
      <c r="DT116" s="486">
        <f>IF(DS116="",DR116,
IF(AND($DQ$10&gt;=VLOOKUP(DS116,$DP$5:$DT$9,2,0),$DQ$10&lt;=VLOOKUP(DS116,$DP$5:$DT$9,3,0)),
(DR116*(1-VLOOKUP(DS116,$DP$5:$DT$9,4,0))),
DR116))</f>
        <v>0</v>
      </c>
      <c r="DU116" s="158"/>
      <c r="DV116" s="157" t="s">
        <v>1386</v>
      </c>
      <c r="DW116" s="158">
        <v>0</v>
      </c>
      <c r="DX116" s="490">
        <f t="shared" si="80"/>
        <v>0</v>
      </c>
      <c r="DY116" s="491"/>
      <c r="DZ116" s="492">
        <f t="shared" si="81"/>
        <v>0</v>
      </c>
      <c r="EG116" s="157"/>
      <c r="EH116" s="100" t="s">
        <v>1653</v>
      </c>
      <c r="EI116" s="156">
        <v>2660</v>
      </c>
      <c r="EJ116" s="498">
        <f>ROUND(((EI116-(EI116/6))/$DD$3)*$DE$3,2)</f>
        <v>2660</v>
      </c>
      <c r="EK116" s="493"/>
      <c r="EL116" s="494">
        <f>IF(EK116="",EJ116,
IF(AND($EI$10&gt;=VLOOKUP(EK116,$EH$5:$EL$9,2,0),$EI$10&lt;=VLOOKUP(EK116,$EH$5:$EL$9,3,0)),
(EJ116*(1-VLOOKUP(EK116,$EH$5:$EL$9,4,0))),
EJ116))</f>
        <v>2660</v>
      </c>
    </row>
    <row r="117" spans="3:142" x14ac:dyDescent="0.2">
      <c r="C117" s="20"/>
      <c r="D117" s="20"/>
      <c r="L117" s="54" t="s">
        <v>441</v>
      </c>
      <c r="M117" s="44" t="s">
        <v>214</v>
      </c>
      <c r="N117" s="85" t="s">
        <v>737</v>
      </c>
      <c r="O117" s="403" t="s">
        <v>196</v>
      </c>
      <c r="Q117" s="54"/>
      <c r="R117" s="89"/>
      <c r="S117" s="85"/>
      <c r="U117" s="415"/>
      <c r="V117" s="416"/>
      <c r="W117" s="151"/>
      <c r="AU117" s="44"/>
      <c r="AV117" s="44"/>
      <c r="AW117" s="44"/>
      <c r="AY117" s="209" t="s">
        <v>423</v>
      </c>
      <c r="AZ117" s="58" t="s">
        <v>303</v>
      </c>
      <c r="BA117" s="131" t="str">
        <f t="shared" si="1"/>
        <v>ДП GRANDE.6.купе</v>
      </c>
      <c r="BW117" s="56" t="s">
        <v>1842</v>
      </c>
      <c r="BX117" s="57" t="s">
        <v>139</v>
      </c>
      <c r="BY117" s="66" t="str">
        <f>CONCATENATE(BW117,".",BX117)</f>
        <v>ДП Neapol.2.Сатин</v>
      </c>
      <c r="CA117" s="217" t="s">
        <v>1743</v>
      </c>
      <c r="CB117" s="126" t="s">
        <v>929</v>
      </c>
      <c r="CC117" s="127" t="str">
        <f t="shared" si="79"/>
        <v>ДП Viva.купе.робоча.(ні)</v>
      </c>
      <c r="DD117" s="157" t="s">
        <v>1469</v>
      </c>
      <c r="DE117" s="158">
        <v>6110</v>
      </c>
      <c r="DF117" s="490">
        <f t="shared" si="77"/>
        <v>6110</v>
      </c>
      <c r="DG117" s="491"/>
      <c r="DH117" s="492">
        <f t="shared" si="78"/>
        <v>6110</v>
      </c>
      <c r="DP117" s="56" t="s">
        <v>1855</v>
      </c>
      <c r="DQ117" s="97">
        <v>520</v>
      </c>
      <c r="DR117" s="503">
        <f>ROUND(((DQ117-(DQ117/6))/$DD$3)*$DE$3,2)</f>
        <v>520</v>
      </c>
      <c r="DS117" s="487"/>
      <c r="DT117" s="486">
        <f>IF(DS117="",DR117,
IF(AND($DQ$10&gt;=VLOOKUP(DS117,$DP$5:$DT$9,2,0),$DQ$10&lt;=VLOOKUP(DS117,$DP$5:$DT$9,3,0)),
(DR117*(1-VLOOKUP(DS117,$DP$5:$DT$9,4,0))),
DR117))</f>
        <v>520</v>
      </c>
      <c r="DU117" s="158"/>
      <c r="DV117" s="157" t="s">
        <v>1387</v>
      </c>
      <c r="DW117" s="158">
        <v>0</v>
      </c>
      <c r="DX117" s="490">
        <f>ROUND(((DW117-(DW117/6))/$DD$3)*$DE$3,2)</f>
        <v>0</v>
      </c>
      <c r="DY117" s="491"/>
      <c r="DZ117" s="492">
        <f>IF(DY117="",DX117,
IF(AND($DW$10&gt;=VLOOKUP(DY117,$DV$5:$DZ$9,2,0),$DW$10&lt;=VLOOKUP(DY117,$DV$5:$DZ$9,3,0)),
(DX117*(1-VLOOKUP(DY117,$DV$5:$DZ$9,4,0))),
DX117))</f>
        <v>0</v>
      </c>
      <c r="EG117" s="157"/>
      <c r="EH117" s="241"/>
      <c r="EI117" s="242"/>
      <c r="EJ117" s="489"/>
      <c r="EK117" s="499"/>
      <c r="EL117" s="244"/>
    </row>
    <row r="118" spans="3:142" x14ac:dyDescent="0.2">
      <c r="C118" s="20"/>
      <c r="D118" s="20"/>
      <c r="L118" s="54" t="s">
        <v>442</v>
      </c>
      <c r="M118" s="44" t="s">
        <v>215</v>
      </c>
      <c r="N118" s="85" t="s">
        <v>738</v>
      </c>
      <c r="O118" s="403" t="s">
        <v>196</v>
      </c>
      <c r="Q118" s="54" t="s">
        <v>451</v>
      </c>
      <c r="R118" s="89" t="s">
        <v>54</v>
      </c>
      <c r="S118" s="85" t="s">
        <v>277</v>
      </c>
      <c r="U118" s="145" t="s">
        <v>1136</v>
      </c>
      <c r="V118" s="93" t="s">
        <v>81</v>
      </c>
      <c r="W118" s="92" t="s">
        <v>781</v>
      </c>
      <c r="AU118" s="521"/>
      <c r="AV118" s="521"/>
      <c r="AW118" s="521"/>
      <c r="AY118" s="220" t="s">
        <v>424</v>
      </c>
      <c r="AZ118" s="129" t="s">
        <v>302</v>
      </c>
      <c r="BA118" s="130" t="str">
        <f t="shared" si="1"/>
        <v>ДП GRANDE.1A.фальц</v>
      </c>
      <c r="BW118" s="44"/>
      <c r="BX118" s="44"/>
      <c r="BY118" s="66"/>
      <c r="CA118" s="220" t="s">
        <v>1743</v>
      </c>
      <c r="CB118" s="129" t="s">
        <v>140</v>
      </c>
      <c r="CC118" s="130" t="str">
        <f t="shared" si="79"/>
        <v>ДП Viva.купе.робоча.Ручка-Захват</v>
      </c>
      <c r="DD118" s="157" t="s">
        <v>539</v>
      </c>
      <c r="DE118" s="158">
        <v>5270</v>
      </c>
      <c r="DF118" s="490">
        <f t="shared" si="77"/>
        <v>5270</v>
      </c>
      <c r="DG118" s="491"/>
      <c r="DH118" s="492">
        <f t="shared" si="78"/>
        <v>5270</v>
      </c>
      <c r="DP118" s="699"/>
      <c r="DQ118" s="700"/>
      <c r="DR118" s="701"/>
      <c r="DS118" s="702"/>
      <c r="DT118" s="703"/>
      <c r="DU118" s="158"/>
      <c r="DV118" s="56" t="s">
        <v>1167</v>
      </c>
      <c r="DW118" s="97">
        <v>0</v>
      </c>
      <c r="DX118" s="607">
        <f t="shared" si="80"/>
        <v>0</v>
      </c>
      <c r="DY118" s="487"/>
      <c r="DZ118" s="486">
        <f t="shared" si="81"/>
        <v>0</v>
      </c>
      <c r="EG118" s="157"/>
      <c r="EH118" s="56" t="s">
        <v>1094</v>
      </c>
      <c r="EI118" s="97">
        <v>0</v>
      </c>
      <c r="EJ118" s="503">
        <f>ROUND(((EI118-(EI118/6))/$DD$3)*$DE$3,2)</f>
        <v>0</v>
      </c>
      <c r="EK118" s="487"/>
      <c r="EL118" s="486">
        <f>IF(EK118="",EJ118,
IF(AND($EI$10&gt;=VLOOKUP(EK118,$EH$5:$EL$9,2,0),$EI$10&lt;=VLOOKUP(EK118,$EH$5:$EL$9,3,0)),
(EJ118*(1-VLOOKUP(EK118,$EH$5:$EL$9,4,0))),
EJ118))</f>
        <v>0</v>
      </c>
    </row>
    <row r="119" spans="3:142" x14ac:dyDescent="0.2">
      <c r="C119" s="20"/>
      <c r="D119" s="20"/>
      <c r="L119" s="54" t="s">
        <v>443</v>
      </c>
      <c r="M119" s="44" t="s">
        <v>292</v>
      </c>
      <c r="N119" s="85" t="s">
        <v>739</v>
      </c>
      <c r="O119" s="403" t="s">
        <v>196</v>
      </c>
      <c r="Q119" s="54"/>
      <c r="R119" s="89"/>
      <c r="S119" s="85"/>
      <c r="U119" s="146" t="s">
        <v>1137</v>
      </c>
      <c r="V119" s="143" t="s">
        <v>82</v>
      </c>
      <c r="W119" s="151" t="s">
        <v>782</v>
      </c>
      <c r="AY119" s="209" t="s">
        <v>424</v>
      </c>
      <c r="AZ119" s="58" t="s">
        <v>303</v>
      </c>
      <c r="BA119" s="131" t="str">
        <f t="shared" si="1"/>
        <v>ДП GRANDE.1A.купе</v>
      </c>
      <c r="BW119" s="520"/>
      <c r="BX119" s="520"/>
      <c r="BY119" s="664"/>
      <c r="CA119" s="220" t="s">
        <v>1743</v>
      </c>
      <c r="CB119" s="129" t="s">
        <v>192</v>
      </c>
      <c r="CC119" s="130" t="str">
        <f t="shared" si="79"/>
        <v>ДП Viva.купе.робоча.Ручка-Замок</v>
      </c>
      <c r="DD119" s="157" t="s">
        <v>1470</v>
      </c>
      <c r="DE119" s="158">
        <v>6110</v>
      </c>
      <c r="DF119" s="490">
        <f t="shared" si="77"/>
        <v>6110</v>
      </c>
      <c r="DG119" s="491"/>
      <c r="DH119" s="492">
        <f t="shared" si="78"/>
        <v>6110</v>
      </c>
      <c r="DP119" s="56"/>
      <c r="DQ119" s="97"/>
      <c r="DR119" s="503"/>
      <c r="DS119" s="487"/>
      <c r="DT119" s="486"/>
      <c r="DU119" s="158"/>
      <c r="DV119" s="157" t="s">
        <v>651</v>
      </c>
      <c r="DW119" s="158">
        <v>0</v>
      </c>
      <c r="DX119" s="490">
        <f t="shared" si="80"/>
        <v>0</v>
      </c>
      <c r="DY119" s="491"/>
      <c r="DZ119" s="492">
        <f t="shared" si="81"/>
        <v>0</v>
      </c>
      <c r="EG119" s="157"/>
      <c r="EH119" s="56" t="s">
        <v>1539</v>
      </c>
      <c r="EI119" s="97">
        <v>0</v>
      </c>
      <c r="EJ119" s="503">
        <f>ROUND(((EI119-(EI119/6))/$DD$3)*$DE$3,2)</f>
        <v>0</v>
      </c>
      <c r="EK119" s="487"/>
      <c r="EL119" s="486">
        <f>IF(EK119="",EJ119,
IF(AND($EI$10&gt;=VLOOKUP(EK119,$EH$5:$EL$9,2,0),$EI$10&lt;=VLOOKUP(EK119,$EH$5:$EL$9,3,0)),
(EJ119*(1-VLOOKUP(EK119,$EH$5:$EL$9,4,0))),
EJ119))</f>
        <v>0</v>
      </c>
    </row>
    <row r="120" spans="3:142" x14ac:dyDescent="0.2">
      <c r="C120" s="20"/>
      <c r="D120" s="20"/>
      <c r="L120" s="54" t="s">
        <v>444</v>
      </c>
      <c r="M120" s="44" t="s">
        <v>216</v>
      </c>
      <c r="N120" s="85" t="s">
        <v>740</v>
      </c>
      <c r="O120" s="403" t="s">
        <v>196</v>
      </c>
      <c r="Q120" s="54" t="s">
        <v>452</v>
      </c>
      <c r="R120" s="89" t="s">
        <v>147</v>
      </c>
      <c r="S120" s="85" t="s">
        <v>17</v>
      </c>
      <c r="U120" s="146" t="s">
        <v>1138</v>
      </c>
      <c r="V120" s="143" t="s">
        <v>83</v>
      </c>
      <c r="W120" s="151" t="s">
        <v>783</v>
      </c>
      <c r="AY120" s="220" t="s">
        <v>425</v>
      </c>
      <c r="AZ120" s="129" t="s">
        <v>302</v>
      </c>
      <c r="BA120" s="130" t="str">
        <f t="shared" si="1"/>
        <v>ДП GRANDE.2A.фальц</v>
      </c>
      <c r="BW120" s="44"/>
      <c r="BX120" s="44"/>
      <c r="BY120" s="66"/>
      <c r="CA120" s="412"/>
      <c r="CB120" s="207"/>
      <c r="CC120" s="208"/>
      <c r="DD120" s="157" t="s">
        <v>540</v>
      </c>
      <c r="DE120" s="158">
        <v>5270</v>
      </c>
      <c r="DF120" s="490">
        <f t="shared" si="77"/>
        <v>5270</v>
      </c>
      <c r="DG120" s="491"/>
      <c r="DH120" s="492">
        <f t="shared" si="78"/>
        <v>5270</v>
      </c>
      <c r="DP120" s="56" t="s">
        <v>952</v>
      </c>
      <c r="DQ120" s="97">
        <v>1400</v>
      </c>
      <c r="DR120" s="503">
        <f t="shared" si="59"/>
        <v>1400</v>
      </c>
      <c r="DS120" s="487"/>
      <c r="DT120" s="486">
        <f t="shared" si="60"/>
        <v>1400</v>
      </c>
      <c r="DU120" s="158"/>
      <c r="DV120" s="100" t="s">
        <v>652</v>
      </c>
      <c r="DW120" s="156">
        <v>640</v>
      </c>
      <c r="DX120" s="498">
        <f t="shared" si="80"/>
        <v>640</v>
      </c>
      <c r="DY120" s="493"/>
      <c r="DZ120" s="494">
        <f t="shared" si="81"/>
        <v>640</v>
      </c>
      <c r="EG120" s="157"/>
      <c r="EH120" s="241"/>
      <c r="EI120" s="242"/>
      <c r="EJ120" s="489"/>
      <c r="EK120" s="499"/>
      <c r="EL120" s="244"/>
    </row>
    <row r="121" spans="3:142" x14ac:dyDescent="0.2">
      <c r="C121" s="20"/>
      <c r="D121" s="20"/>
      <c r="L121" s="54" t="s">
        <v>445</v>
      </c>
      <c r="M121" s="44" t="s">
        <v>217</v>
      </c>
      <c r="N121" s="85" t="s">
        <v>741</v>
      </c>
      <c r="O121" s="403" t="s">
        <v>196</v>
      </c>
      <c r="Q121" s="54" t="s">
        <v>453</v>
      </c>
      <c r="R121" s="89" t="s">
        <v>148</v>
      </c>
      <c r="S121" s="85" t="s">
        <v>18</v>
      </c>
      <c r="U121" s="147" t="s">
        <v>1139</v>
      </c>
      <c r="V121" s="144" t="s">
        <v>84</v>
      </c>
      <c r="W121" s="152" t="s">
        <v>784</v>
      </c>
      <c r="AY121" s="209" t="s">
        <v>425</v>
      </c>
      <c r="AZ121" s="58" t="s">
        <v>303</v>
      </c>
      <c r="BA121" s="131" t="str">
        <f t="shared" si="1"/>
        <v>ДП GRANDE.2A.купе</v>
      </c>
      <c r="BW121" s="157" t="s">
        <v>452</v>
      </c>
      <c r="BX121" s="232" t="s">
        <v>951</v>
      </c>
      <c r="BY121" s="130" t="str">
        <f t="shared" ref="BY121:BY140" si="82">CONCATENATE(BW121,".",BX121)</f>
        <v>ФР ECO-FIT.A.Фільонка</v>
      </c>
      <c r="CA121" s="220" t="s">
        <v>1048</v>
      </c>
      <c r="CB121" s="129" t="s">
        <v>929</v>
      </c>
      <c r="CC121" s="130" t="str">
        <f t="shared" ref="CC121:CC131" si="83">CONCATENATE(CA121,".",CB121)</f>
        <v>ДП VIENTO.фальц.робоча.(ні)</v>
      </c>
      <c r="DD121" s="157" t="s">
        <v>1471</v>
      </c>
      <c r="DE121" s="158">
        <v>6110</v>
      </c>
      <c r="DF121" s="490">
        <f t="shared" si="77"/>
        <v>6110</v>
      </c>
      <c r="DG121" s="491"/>
      <c r="DH121" s="492">
        <f t="shared" si="78"/>
        <v>6110</v>
      </c>
      <c r="DP121" s="56" t="s">
        <v>638</v>
      </c>
      <c r="DQ121" s="97">
        <v>1290</v>
      </c>
      <c r="DR121" s="503">
        <f t="shared" si="59"/>
        <v>1290</v>
      </c>
      <c r="DS121" s="487"/>
      <c r="DT121" s="486">
        <f t="shared" si="60"/>
        <v>1290</v>
      </c>
      <c r="DU121" s="158"/>
      <c r="DV121" s="600"/>
      <c r="DW121" s="601"/>
      <c r="DX121" s="604"/>
      <c r="DY121" s="605"/>
      <c r="DZ121" s="606"/>
      <c r="EG121" s="157"/>
      <c r="EH121" s="241"/>
      <c r="EI121" s="242"/>
      <c r="EJ121" s="489"/>
      <c r="EK121" s="499"/>
      <c r="EL121" s="244"/>
    </row>
    <row r="122" spans="3:142" x14ac:dyDescent="0.2">
      <c r="C122" s="20"/>
      <c r="D122" s="20"/>
      <c r="L122" s="54" t="s">
        <v>446</v>
      </c>
      <c r="M122" s="44" t="s">
        <v>218</v>
      </c>
      <c r="N122" s="85" t="s">
        <v>742</v>
      </c>
      <c r="O122" s="403" t="s">
        <v>196</v>
      </c>
      <c r="Q122" s="54" t="s">
        <v>454</v>
      </c>
      <c r="R122" s="89" t="s">
        <v>293</v>
      </c>
      <c r="S122" s="85" t="s">
        <v>294</v>
      </c>
      <c r="U122" s="415"/>
      <c r="V122" s="416"/>
      <c r="W122" s="151"/>
      <c r="AY122" s="220" t="s">
        <v>426</v>
      </c>
      <c r="AZ122" s="129" t="s">
        <v>302</v>
      </c>
      <c r="BA122" s="130" t="str">
        <f t="shared" si="1"/>
        <v>ДП GRANDE.3A.фальц</v>
      </c>
      <c r="BW122" s="100" t="s">
        <v>452</v>
      </c>
      <c r="BX122" s="667" t="s">
        <v>139</v>
      </c>
      <c r="BY122" s="131" t="str">
        <f t="shared" si="82"/>
        <v>ФР ECO-FIT.A.Сатин</v>
      </c>
      <c r="CA122" s="220" t="s">
        <v>1048</v>
      </c>
      <c r="CB122" s="19" t="s">
        <v>1340</v>
      </c>
      <c r="CC122" s="130" t="str">
        <f t="shared" si="83"/>
        <v>ДП VIENTO.фальц.робоча.Stand цл Лів +3завіс</v>
      </c>
      <c r="DD122" s="157" t="s">
        <v>541</v>
      </c>
      <c r="DE122" s="158">
        <v>5270</v>
      </c>
      <c r="DF122" s="490">
        <f t="shared" si="77"/>
        <v>5270</v>
      </c>
      <c r="DG122" s="491"/>
      <c r="DH122" s="492">
        <f t="shared" si="78"/>
        <v>5270</v>
      </c>
      <c r="DP122" s="241"/>
      <c r="DQ122" s="242"/>
      <c r="DR122" s="489"/>
      <c r="DS122" s="499"/>
      <c r="DT122" s="244"/>
      <c r="DU122" s="158"/>
      <c r="DV122" s="56" t="s">
        <v>1857</v>
      </c>
      <c r="DW122" s="97">
        <v>0</v>
      </c>
      <c r="DX122" s="388">
        <f t="shared" ref="DX122:DX131" si="84">ROUND(((DW122-(DW122/6))/$DD$3)*$DE$3,2)</f>
        <v>0</v>
      </c>
      <c r="DY122" s="487"/>
      <c r="DZ122" s="486">
        <f t="shared" ref="DZ122:DZ131" si="85">IF(DY122="",DX122,
IF(AND($DW$10&gt;=VLOOKUP(DY122,$DV$5:$DZ$9,2,0),$DW$10&lt;=VLOOKUP(DY122,$DV$5:$DZ$9,3,0)),
(DX122*(1-VLOOKUP(DY122,$DV$5:$DZ$9,4,0))),
DX122))</f>
        <v>0</v>
      </c>
      <c r="EG122" s="157"/>
      <c r="EH122" s="157" t="s">
        <v>1098</v>
      </c>
      <c r="EI122" s="158">
        <v>0</v>
      </c>
      <c r="EJ122" s="490">
        <f>ROUND(((EI122-(EI122/6))/$DD$3)*$DE$3,2)</f>
        <v>0</v>
      </c>
      <c r="EK122" s="491"/>
      <c r="EL122" s="492">
        <f>IF(EK122="",EJ122,
IF(AND($EI$10&gt;=VLOOKUP(EK122,$EH$5:$EL$9,2,0),$EI$10&lt;=VLOOKUP(EK122,$EH$5:$EL$9,3,0)),
(EJ122*(1-VLOOKUP(EK122,$EH$5:$EL$9,4,0))),
EJ122))</f>
        <v>0</v>
      </c>
    </row>
    <row r="123" spans="3:142" x14ac:dyDescent="0.2">
      <c r="C123" s="20"/>
      <c r="D123" s="20"/>
      <c r="L123" s="54" t="s">
        <v>447</v>
      </c>
      <c r="M123" s="44" t="s">
        <v>219</v>
      </c>
      <c r="N123" s="85" t="s">
        <v>743</v>
      </c>
      <c r="O123" s="403" t="s">
        <v>196</v>
      </c>
      <c r="Q123" s="54" t="s">
        <v>455</v>
      </c>
      <c r="R123" s="89" t="s">
        <v>149</v>
      </c>
      <c r="S123" s="85" t="s">
        <v>19</v>
      </c>
      <c r="U123" s="45"/>
      <c r="V123" s="89"/>
      <c r="W123" s="85"/>
      <c r="AY123" s="209" t="s">
        <v>426</v>
      </c>
      <c r="AZ123" s="58" t="s">
        <v>303</v>
      </c>
      <c r="BA123" s="131" t="str">
        <f t="shared" si="1"/>
        <v>ДП GRANDE.3A.купе</v>
      </c>
      <c r="BW123" s="157" t="s">
        <v>453</v>
      </c>
      <c r="BX123" s="232" t="s">
        <v>951</v>
      </c>
      <c r="BY123" s="130" t="str">
        <f t="shared" si="82"/>
        <v>ФР ECO-FIT.B.Фільонка</v>
      </c>
      <c r="CA123" s="220" t="s">
        <v>1048</v>
      </c>
      <c r="CB123" s="19" t="s">
        <v>1341</v>
      </c>
      <c r="CC123" s="130" t="str">
        <f t="shared" si="83"/>
        <v>ДП VIENTO.фальц.робоча.Stand цл Пр +3завіс</v>
      </c>
      <c r="DD123" s="157" t="s">
        <v>1472</v>
      </c>
      <c r="DE123" s="158">
        <v>6110</v>
      </c>
      <c r="DF123" s="490">
        <f t="shared" si="77"/>
        <v>6110</v>
      </c>
      <c r="DG123" s="491"/>
      <c r="DH123" s="492">
        <f t="shared" si="78"/>
        <v>6110</v>
      </c>
      <c r="DP123" s="44"/>
      <c r="DQ123" s="44"/>
      <c r="DR123" s="112"/>
      <c r="DS123" s="44"/>
      <c r="DT123" s="44"/>
      <c r="DU123" s="158"/>
      <c r="DV123" s="154" t="s">
        <v>1858</v>
      </c>
      <c r="DW123" s="155">
        <v>0</v>
      </c>
      <c r="DX123" s="495">
        <f t="shared" si="84"/>
        <v>0</v>
      </c>
      <c r="DY123" s="496"/>
      <c r="DZ123" s="497">
        <f t="shared" si="85"/>
        <v>0</v>
      </c>
      <c r="EG123" s="157"/>
      <c r="EH123" s="157" t="s">
        <v>1540</v>
      </c>
      <c r="EI123" s="158">
        <v>0</v>
      </c>
      <c r="EJ123" s="490">
        <f>ROUND(((EI123-(EI123/6))/$DD$3)*$DE$3,2)</f>
        <v>0</v>
      </c>
      <c r="EK123" s="491"/>
      <c r="EL123" s="492">
        <f>IF(EK123="",EJ123,
IF(AND($EI$10&gt;=VLOOKUP(EK123,$EH$5:$EL$9,2,0),$EI$10&lt;=VLOOKUP(EK123,$EH$5:$EL$9,3,0)),
(EJ123*(1-VLOOKUP(EK123,$EH$5:$EL$9,4,0))),
EJ123))</f>
        <v>0</v>
      </c>
    </row>
    <row r="124" spans="3:142" x14ac:dyDescent="0.2">
      <c r="C124" s="20"/>
      <c r="D124" s="20"/>
      <c r="L124" s="54" t="s">
        <v>448</v>
      </c>
      <c r="M124" s="44" t="s">
        <v>220</v>
      </c>
      <c r="N124" s="85" t="s">
        <v>744</v>
      </c>
      <c r="O124" s="403" t="s">
        <v>196</v>
      </c>
      <c r="Q124" s="54" t="s">
        <v>456</v>
      </c>
      <c r="R124" s="89" t="s">
        <v>150</v>
      </c>
      <c r="S124" s="85" t="s">
        <v>20</v>
      </c>
      <c r="U124" s="536"/>
      <c r="V124" s="537"/>
      <c r="W124" s="538"/>
      <c r="AY124" s="220" t="s">
        <v>427</v>
      </c>
      <c r="AZ124" s="129" t="s">
        <v>302</v>
      </c>
      <c r="BA124" s="130" t="str">
        <f t="shared" si="1"/>
        <v>ДП GRANDE.4A.фальц</v>
      </c>
      <c r="BW124" s="100" t="s">
        <v>453</v>
      </c>
      <c r="BX124" s="667" t="s">
        <v>139</v>
      </c>
      <c r="BY124" s="131" t="str">
        <f t="shared" si="82"/>
        <v>ФР ECO-FIT.B.Сатин</v>
      </c>
      <c r="CA124" s="220" t="s">
        <v>1048</v>
      </c>
      <c r="CC124" s="130"/>
      <c r="DD124" s="157" t="s">
        <v>542</v>
      </c>
      <c r="DE124" s="158">
        <v>5270</v>
      </c>
      <c r="DF124" s="490">
        <f t="shared" si="77"/>
        <v>5270</v>
      </c>
      <c r="DG124" s="491"/>
      <c r="DH124" s="492">
        <f t="shared" si="78"/>
        <v>5270</v>
      </c>
      <c r="DP124" s="44"/>
      <c r="DQ124" s="44"/>
      <c r="DR124" s="112"/>
      <c r="DS124" s="44"/>
      <c r="DT124" s="44"/>
      <c r="DU124" s="158"/>
      <c r="DV124" s="154" t="s">
        <v>1859</v>
      </c>
      <c r="DW124" s="158">
        <v>0</v>
      </c>
      <c r="DX124" s="490">
        <f t="shared" si="84"/>
        <v>0</v>
      </c>
      <c r="DY124" s="491"/>
      <c r="DZ124" s="492">
        <f t="shared" si="85"/>
        <v>0</v>
      </c>
      <c r="EG124" s="157"/>
      <c r="EH124" s="100" t="s">
        <v>1888</v>
      </c>
      <c r="EI124" s="156">
        <v>170</v>
      </c>
      <c r="EJ124" s="498">
        <f>ROUND(((EI124-(EI124/6))/$DD$3)*$DE$3,2)</f>
        <v>170</v>
      </c>
      <c r="EK124" s="493"/>
      <c r="EL124" s="494">
        <f>IF(EK124="",EJ124,
IF(AND($EI$10&gt;=VLOOKUP(EK124,$EH$5:$EL$9,2,0),$EI$10&lt;=VLOOKUP(EK124,$EH$5:$EL$9,3,0)),
(EJ124*(1-VLOOKUP(EK124,$EH$5:$EL$9,4,0))),
EJ124))</f>
        <v>170</v>
      </c>
    </row>
    <row r="125" spans="3:142" x14ac:dyDescent="0.2">
      <c r="C125" s="20"/>
      <c r="D125" s="20"/>
      <c r="L125" s="54" t="s">
        <v>449</v>
      </c>
      <c r="M125" s="44" t="s">
        <v>221</v>
      </c>
      <c r="N125" s="85" t="s">
        <v>745</v>
      </c>
      <c r="O125" s="403" t="s">
        <v>196</v>
      </c>
      <c r="Q125" s="54" t="s">
        <v>457</v>
      </c>
      <c r="R125" s="89" t="s">
        <v>151</v>
      </c>
      <c r="S125" s="85" t="s">
        <v>21</v>
      </c>
      <c r="U125" s="45"/>
      <c r="V125" s="89"/>
      <c r="W125" s="85"/>
      <c r="AY125" s="209" t="s">
        <v>427</v>
      </c>
      <c r="AZ125" s="58" t="s">
        <v>303</v>
      </c>
      <c r="BA125" s="131" t="str">
        <f t="shared" si="1"/>
        <v>ДП GRANDE.4A.купе</v>
      </c>
      <c r="BW125" s="157" t="s">
        <v>454</v>
      </c>
      <c r="BX125" s="232" t="s">
        <v>951</v>
      </c>
      <c r="BY125" s="130" t="str">
        <f t="shared" si="82"/>
        <v>ФР ECO-FIT.B+.Фільонка</v>
      </c>
      <c r="CA125" s="220" t="s">
        <v>1048</v>
      </c>
      <c r="CB125" s="19" t="s">
        <v>1344</v>
      </c>
      <c r="CC125" s="130" t="str">
        <f t="shared" si="83"/>
        <v>ДП VIENTO.фальц.робоча.Stand ст Лів +3завіс</v>
      </c>
      <c r="DD125" s="157" t="s">
        <v>1473</v>
      </c>
      <c r="DE125" s="158">
        <v>6110</v>
      </c>
      <c r="DF125" s="490">
        <f t="shared" si="77"/>
        <v>6110</v>
      </c>
      <c r="DG125" s="491"/>
      <c r="DH125" s="492">
        <f t="shared" si="78"/>
        <v>6110</v>
      </c>
      <c r="DP125" s="44"/>
      <c r="DQ125" s="44"/>
      <c r="DR125" s="112"/>
      <c r="DS125" s="44"/>
      <c r="DT125" s="44"/>
      <c r="DU125" s="158"/>
      <c r="DV125" s="157" t="s">
        <v>1860</v>
      </c>
      <c r="DW125" s="158">
        <v>0</v>
      </c>
      <c r="DX125" s="490">
        <f t="shared" si="84"/>
        <v>0</v>
      </c>
      <c r="DY125" s="491"/>
      <c r="DZ125" s="492">
        <f t="shared" si="85"/>
        <v>0</v>
      </c>
      <c r="EG125" s="157"/>
      <c r="EH125" s="100" t="s">
        <v>1889</v>
      </c>
      <c r="EI125" s="156">
        <v>230</v>
      </c>
      <c r="EJ125" s="498">
        <f>ROUND(((EI125-(EI125/6))/$DD$3)*$DE$3,2)</f>
        <v>230</v>
      </c>
      <c r="EK125" s="493"/>
      <c r="EL125" s="494">
        <f>IF(EK125="",EJ125,
IF(AND($EI$10&gt;=VLOOKUP(EK125,$EH$5:$EL$9,2,0),$EI$10&lt;=VLOOKUP(EK125,$EH$5:$EL$9,3,0)),
(EJ125*(1-VLOOKUP(EK125,$EH$5:$EL$9,4,0))),
EJ125))</f>
        <v>230</v>
      </c>
    </row>
    <row r="126" spans="3:142" x14ac:dyDescent="0.2">
      <c r="C126" s="20"/>
      <c r="L126" s="54" t="s">
        <v>450</v>
      </c>
      <c r="M126" s="44" t="s">
        <v>222</v>
      </c>
      <c r="N126" s="85" t="s">
        <v>746</v>
      </c>
      <c r="O126" s="403" t="s">
        <v>196</v>
      </c>
      <c r="Q126" s="136" t="s">
        <v>458</v>
      </c>
      <c r="R126" s="89" t="s">
        <v>152</v>
      </c>
      <c r="S126" s="85" t="s">
        <v>22</v>
      </c>
      <c r="U126" s="45" t="s">
        <v>676</v>
      </c>
      <c r="V126" s="89"/>
      <c r="W126" s="85" t="s">
        <v>785</v>
      </c>
      <c r="AY126" s="657"/>
      <c r="AZ126" s="658"/>
      <c r="BA126" s="659"/>
      <c r="BW126" s="100" t="s">
        <v>454</v>
      </c>
      <c r="BX126" s="667" t="s">
        <v>139</v>
      </c>
      <c r="BY126" s="131" t="str">
        <f t="shared" si="82"/>
        <v>ФР ECO-FIT.B+.Сатин</v>
      </c>
      <c r="CA126" s="220" t="s">
        <v>1048</v>
      </c>
      <c r="CB126" s="19" t="s">
        <v>1345</v>
      </c>
      <c r="CC126" s="130" t="str">
        <f t="shared" si="83"/>
        <v>ДП VIENTO.фальц.робоча.Stand ст Пр +3завіс</v>
      </c>
      <c r="DD126" s="595"/>
      <c r="DE126" s="596"/>
      <c r="DF126" s="597"/>
      <c r="DG126" s="598"/>
      <c r="DH126" s="599"/>
      <c r="DP126" s="44"/>
      <c r="DQ126" s="44"/>
      <c r="DR126" s="112"/>
      <c r="DS126" s="44"/>
      <c r="DT126" s="44"/>
      <c r="DU126" s="158"/>
      <c r="DV126" s="157" t="s">
        <v>1861</v>
      </c>
      <c r="DW126" s="158">
        <v>0</v>
      </c>
      <c r="DX126" s="490">
        <f t="shared" si="84"/>
        <v>0</v>
      </c>
      <c r="DY126" s="491"/>
      <c r="DZ126" s="492">
        <f t="shared" si="85"/>
        <v>0</v>
      </c>
      <c r="EG126" s="157"/>
      <c r="EH126" s="741"/>
      <c r="EI126" s="742"/>
      <c r="EJ126" s="743"/>
      <c r="EK126" s="744"/>
      <c r="EL126" s="745"/>
    </row>
    <row r="127" spans="3:142" x14ac:dyDescent="0.2">
      <c r="L127" s="54"/>
      <c r="M127" s="44"/>
      <c r="N127" s="85"/>
      <c r="O127" s="403"/>
      <c r="Q127" s="136" t="s">
        <v>459</v>
      </c>
      <c r="R127" s="651" t="s">
        <v>153</v>
      </c>
      <c r="S127" s="519" t="s">
        <v>23</v>
      </c>
      <c r="U127" s="415"/>
      <c r="V127" s="416"/>
      <c r="W127" s="151"/>
      <c r="AY127" s="220" t="s">
        <v>428</v>
      </c>
      <c r="AZ127" s="129" t="s">
        <v>302</v>
      </c>
      <c r="BA127" s="130" t="str">
        <f t="shared" si="1"/>
        <v>ДП PIANO.1.фальц</v>
      </c>
      <c r="BW127" s="157" t="s">
        <v>455</v>
      </c>
      <c r="BX127" s="232" t="s">
        <v>951</v>
      </c>
      <c r="BY127" s="130" t="str">
        <f t="shared" si="82"/>
        <v>ФР ECO-FIT.C.Фільонка</v>
      </c>
      <c r="CA127" s="217" t="s">
        <v>1049</v>
      </c>
      <c r="CB127" s="126" t="s">
        <v>929</v>
      </c>
      <c r="CC127" s="127" t="str">
        <f t="shared" si="83"/>
        <v>ДП VIENTO.фальц.неробоча.(ні)</v>
      </c>
      <c r="DD127" s="157" t="s">
        <v>543</v>
      </c>
      <c r="DE127" s="158">
        <v>5440</v>
      </c>
      <c r="DF127" s="490">
        <f t="shared" ref="DF127:DF132" si="86">ROUND(((DE127-(DE127/6))/$DD$3)*$DE$3,2)</f>
        <v>5440</v>
      </c>
      <c r="DG127" s="491"/>
      <c r="DH127" s="492">
        <f t="shared" ref="DH127:DH132" si="87">IF(DG127="",DF127,
IF(AND($DE$10&gt;=VLOOKUP(DG127,$DD$5:$DH$9,2,0),$DE$10&lt;=VLOOKUP(DG127,$DD$5:$DH$9,3,0)),
(DF127*(1-VLOOKUP(DG127,$DD$5:$DH$9,4,0))),
DF127))</f>
        <v>5440</v>
      </c>
      <c r="DP127" s="44"/>
      <c r="DQ127" s="44"/>
      <c r="DR127" s="112"/>
      <c r="DS127" s="44"/>
      <c r="DT127" s="44"/>
      <c r="DU127" s="158"/>
      <c r="DV127" s="157" t="s">
        <v>1862</v>
      </c>
      <c r="DW127" s="158">
        <v>0</v>
      </c>
      <c r="DX127" s="490">
        <f t="shared" si="84"/>
        <v>0</v>
      </c>
      <c r="DY127" s="491"/>
      <c r="DZ127" s="492">
        <f t="shared" si="85"/>
        <v>0</v>
      </c>
      <c r="EG127" s="157"/>
      <c r="EH127" s="157" t="s">
        <v>1716</v>
      </c>
      <c r="EI127" s="158">
        <v>0</v>
      </c>
      <c r="EJ127" s="490">
        <f>ROUND(((EI127-(EI127/6))/$DD$3)*$DE$3,2)</f>
        <v>0</v>
      </c>
      <c r="EK127" s="491"/>
      <c r="EL127" s="492">
        <f>IF(EK127="",EJ127,
IF(AND($EI$10&gt;=VLOOKUP(EK127,$EH$5:$EL$9,2,0),$EI$10&lt;=VLOOKUP(EK127,$EH$5:$EL$9,3,0)),
(EJ127*(1-VLOOKUP(EK127,$EH$5:$EL$9,4,0))),
EJ127))</f>
        <v>0</v>
      </c>
    </row>
    <row r="128" spans="3:142" x14ac:dyDescent="0.2">
      <c r="L128" s="145" t="s">
        <v>1687</v>
      </c>
      <c r="M128" s="91" t="s">
        <v>1575</v>
      </c>
      <c r="N128" s="92" t="s">
        <v>1688</v>
      </c>
      <c r="O128" s="403"/>
      <c r="Q128" s="136" t="s">
        <v>460</v>
      </c>
      <c r="R128" s="89" t="s">
        <v>154</v>
      </c>
      <c r="S128" s="85" t="s">
        <v>24</v>
      </c>
      <c r="U128" s="45"/>
      <c r="V128" s="89"/>
      <c r="W128" s="85"/>
      <c r="AY128" s="209" t="s">
        <v>428</v>
      </c>
      <c r="AZ128" s="58" t="s">
        <v>303</v>
      </c>
      <c r="BA128" s="131" t="str">
        <f t="shared" si="1"/>
        <v>ДП PIANO.1.купе</v>
      </c>
      <c r="BW128" s="100" t="s">
        <v>455</v>
      </c>
      <c r="BX128" s="667" t="s">
        <v>139</v>
      </c>
      <c r="BY128" s="131" t="str">
        <f t="shared" si="82"/>
        <v>ФР ECO-FIT.C.Сатин</v>
      </c>
      <c r="CA128" s="220" t="s">
        <v>1049</v>
      </c>
      <c r="CB128" s="19" t="s">
        <v>1156</v>
      </c>
      <c r="CC128" s="130" t="str">
        <f t="shared" si="83"/>
        <v>ДП VIENTO.фальц.неробоча.Пл Stand +3завіс</v>
      </c>
      <c r="DD128" s="157" t="s">
        <v>1474</v>
      </c>
      <c r="DE128" s="158">
        <v>6290</v>
      </c>
      <c r="DF128" s="490">
        <f t="shared" si="86"/>
        <v>6290</v>
      </c>
      <c r="DG128" s="491"/>
      <c r="DH128" s="492">
        <f t="shared" si="87"/>
        <v>6290</v>
      </c>
      <c r="DP128" s="44"/>
      <c r="DQ128" s="44"/>
      <c r="DR128" s="112"/>
      <c r="DS128" s="44"/>
      <c r="DT128" s="44"/>
      <c r="DU128" s="158"/>
      <c r="DV128" s="157" t="s">
        <v>1863</v>
      </c>
      <c r="DW128" s="158">
        <v>0</v>
      </c>
      <c r="DX128" s="490">
        <f t="shared" si="84"/>
        <v>0</v>
      </c>
      <c r="DY128" s="491"/>
      <c r="DZ128" s="492">
        <f t="shared" si="85"/>
        <v>0</v>
      </c>
      <c r="EG128" s="157"/>
      <c r="EH128" s="157" t="s">
        <v>1717</v>
      </c>
      <c r="EI128" s="158">
        <v>0</v>
      </c>
      <c r="EJ128" s="490">
        <f>ROUND(((EI128-(EI128/6))/$DD$3)*$DE$3,2)</f>
        <v>0</v>
      </c>
      <c r="EK128" s="491"/>
      <c r="EL128" s="492">
        <f>IF(EK128="",EJ128,
IF(AND($EI$10&gt;=VLOOKUP(EK128,$EH$5:$EL$9,2,0),$EI$10&lt;=VLOOKUP(EK128,$EH$5:$EL$9,3,0)),
(EJ128*(1-VLOOKUP(EK128,$EH$5:$EL$9,4,0))),
EJ128))</f>
        <v>0</v>
      </c>
    </row>
    <row r="129" spans="12:142" x14ac:dyDescent="0.2">
      <c r="L129" s="146" t="s">
        <v>1689</v>
      </c>
      <c r="M129" s="20" t="s">
        <v>1576</v>
      </c>
      <c r="N129" s="151" t="s">
        <v>1690</v>
      </c>
      <c r="O129" s="403"/>
      <c r="Q129" s="54" t="s">
        <v>461</v>
      </c>
      <c r="R129" s="89" t="s">
        <v>155</v>
      </c>
      <c r="S129" s="85" t="s">
        <v>25</v>
      </c>
      <c r="U129" s="536"/>
      <c r="V129" s="537"/>
      <c r="W129" s="538"/>
      <c r="AY129" s="220" t="s">
        <v>430</v>
      </c>
      <c r="AZ129" s="129" t="s">
        <v>302</v>
      </c>
      <c r="BA129" s="130" t="str">
        <f t="shared" si="1"/>
        <v>ДП PIANO.2.фальц</v>
      </c>
      <c r="BW129" s="157" t="s">
        <v>456</v>
      </c>
      <c r="BX129" s="232" t="s">
        <v>951</v>
      </c>
      <c r="BY129" s="130" t="str">
        <f t="shared" si="82"/>
        <v>ФР ECO-FIT.D.Фільонка</v>
      </c>
      <c r="CA129" s="217" t="s">
        <v>1050</v>
      </c>
      <c r="CB129" s="126" t="s">
        <v>929</v>
      </c>
      <c r="CC129" s="127" t="str">
        <f t="shared" si="83"/>
        <v>ДП VIENTO.купе.робоча.(ні)</v>
      </c>
      <c r="DD129" s="157" t="s">
        <v>544</v>
      </c>
      <c r="DE129" s="158">
        <v>5440</v>
      </c>
      <c r="DF129" s="490">
        <f t="shared" si="86"/>
        <v>5440</v>
      </c>
      <c r="DG129" s="491"/>
      <c r="DH129" s="492">
        <f t="shared" si="87"/>
        <v>5440</v>
      </c>
      <c r="DP129" s="44"/>
      <c r="DQ129" s="44"/>
      <c r="DR129" s="112"/>
      <c r="DS129" s="44"/>
      <c r="DT129" s="44"/>
      <c r="DU129" s="158"/>
      <c r="DV129" s="56" t="s">
        <v>1864</v>
      </c>
      <c r="DW129" s="97">
        <v>0</v>
      </c>
      <c r="DX129" s="607">
        <f t="shared" si="84"/>
        <v>0</v>
      </c>
      <c r="DY129" s="487"/>
      <c r="DZ129" s="486">
        <f t="shared" si="85"/>
        <v>0</v>
      </c>
      <c r="EG129" s="157"/>
      <c r="EH129" s="100" t="s">
        <v>1718</v>
      </c>
      <c r="EI129" s="156">
        <v>200</v>
      </c>
      <c r="EJ129" s="498">
        <f>ROUND(((EI129-(EI129/6))/$DD$3)*$DE$3,2)</f>
        <v>200</v>
      </c>
      <c r="EK129" s="493"/>
      <c r="EL129" s="494">
        <f>IF(EK129="",EJ129,
IF(AND($EI$10&gt;=VLOOKUP(EK129,$EH$5:$EL$9,2,0),$EI$10&lt;=VLOOKUP(EK129,$EH$5:$EL$9,3,0)),
(EJ129*(1-VLOOKUP(EK129,$EH$5:$EL$9,4,0))),
EJ129))</f>
        <v>200</v>
      </c>
    </row>
    <row r="130" spans="12:142" x14ac:dyDescent="0.2">
      <c r="L130" s="234" t="s">
        <v>1691</v>
      </c>
      <c r="M130" s="20" t="s">
        <v>1577</v>
      </c>
      <c r="N130" s="151" t="s">
        <v>1692</v>
      </c>
      <c r="O130" s="403"/>
      <c r="Q130" s="54"/>
      <c r="R130" s="89"/>
      <c r="S130" s="85"/>
      <c r="U130" s="45"/>
      <c r="V130" s="89"/>
      <c r="W130" s="85"/>
      <c r="AY130" s="209" t="s">
        <v>430</v>
      </c>
      <c r="AZ130" s="58" t="s">
        <v>303</v>
      </c>
      <c r="BA130" s="131" t="str">
        <f t="shared" si="1"/>
        <v>ДП PIANO.2.купе</v>
      </c>
      <c r="BW130" s="100" t="s">
        <v>456</v>
      </c>
      <c r="BX130" s="667" t="s">
        <v>139</v>
      </c>
      <c r="BY130" s="131" t="str">
        <f t="shared" si="82"/>
        <v>ФР ECO-FIT.D.Сатин</v>
      </c>
      <c r="CA130" s="220" t="s">
        <v>1050</v>
      </c>
      <c r="CB130" s="129" t="s">
        <v>140</v>
      </c>
      <c r="CC130" s="130" t="str">
        <f t="shared" si="83"/>
        <v>ДП VIENTO.купе.робоча.Ручка-Захват</v>
      </c>
      <c r="DD130" s="157" t="s">
        <v>1475</v>
      </c>
      <c r="DE130" s="158">
        <v>6290</v>
      </c>
      <c r="DF130" s="490">
        <f t="shared" si="86"/>
        <v>6290</v>
      </c>
      <c r="DG130" s="491"/>
      <c r="DH130" s="492">
        <f t="shared" si="87"/>
        <v>6290</v>
      </c>
      <c r="DP130" s="521"/>
      <c r="DQ130" s="521"/>
      <c r="DR130" s="603"/>
      <c r="DS130" s="521"/>
      <c r="DT130" s="521"/>
      <c r="DU130" s="158"/>
      <c r="DV130" s="157" t="s">
        <v>1865</v>
      </c>
      <c r="DW130" s="158">
        <v>0</v>
      </c>
      <c r="DX130" s="490">
        <f t="shared" si="84"/>
        <v>0</v>
      </c>
      <c r="DY130" s="491"/>
      <c r="DZ130" s="492">
        <f t="shared" si="85"/>
        <v>0</v>
      </c>
      <c r="EG130" s="157"/>
      <c r="EH130" s="100" t="s">
        <v>1719</v>
      </c>
      <c r="EI130" s="156">
        <v>290</v>
      </c>
      <c r="EJ130" s="498">
        <f>ROUND(((EI130-(EI130/6))/$DD$3)*$DE$3,2)</f>
        <v>290</v>
      </c>
      <c r="EK130" s="493"/>
      <c r="EL130" s="494">
        <f>IF(EK130="",EJ130,
IF(AND($EI$10&gt;=VLOOKUP(EK130,$EH$5:$EL$9,2,0),$EI$10&lt;=VLOOKUP(EK130,$EH$5:$EL$9,3,0)),
(EJ130*(1-VLOOKUP(EK130,$EH$5:$EL$9,4,0))),
EJ130))</f>
        <v>290</v>
      </c>
    </row>
    <row r="131" spans="12:142" x14ac:dyDescent="0.2">
      <c r="L131" s="146" t="s">
        <v>1693</v>
      </c>
      <c r="M131" s="20" t="s">
        <v>1578</v>
      </c>
      <c r="N131" s="151" t="s">
        <v>1694</v>
      </c>
      <c r="O131" s="403"/>
      <c r="Q131" s="650"/>
      <c r="R131" s="650"/>
      <c r="S131" s="650"/>
      <c r="U131" s="145" t="s">
        <v>677</v>
      </c>
      <c r="V131" s="93" t="s">
        <v>81</v>
      </c>
      <c r="W131" s="92" t="s">
        <v>776</v>
      </c>
      <c r="AY131" s="220" t="s">
        <v>431</v>
      </c>
      <c r="AZ131" s="129" t="s">
        <v>302</v>
      </c>
      <c r="BA131" s="130" t="str">
        <f t="shared" si="1"/>
        <v>ДП PIANO.3.фальц</v>
      </c>
      <c r="BW131" s="157" t="s">
        <v>457</v>
      </c>
      <c r="BX131" s="232" t="s">
        <v>951</v>
      </c>
      <c r="BY131" s="130" t="str">
        <f t="shared" si="82"/>
        <v>ФР ECO-FIT.E.Фільонка</v>
      </c>
      <c r="CA131" s="220" t="s">
        <v>1050</v>
      </c>
      <c r="CB131" s="129" t="s">
        <v>192</v>
      </c>
      <c r="CC131" s="130" t="str">
        <f t="shared" si="83"/>
        <v>ДП VIENTO.купе.робоча.Ручка-Замок</v>
      </c>
      <c r="DD131" s="157" t="s">
        <v>545</v>
      </c>
      <c r="DE131" s="158">
        <v>5440</v>
      </c>
      <c r="DF131" s="490">
        <f t="shared" si="86"/>
        <v>5440</v>
      </c>
      <c r="DG131" s="491"/>
      <c r="DH131" s="492">
        <f t="shared" si="87"/>
        <v>5440</v>
      </c>
      <c r="DU131" s="158"/>
      <c r="DV131" s="100" t="s">
        <v>1866</v>
      </c>
      <c r="DW131" s="156">
        <v>640</v>
      </c>
      <c r="DX131" s="498">
        <f t="shared" si="84"/>
        <v>640</v>
      </c>
      <c r="DY131" s="493"/>
      <c r="DZ131" s="494">
        <f t="shared" si="85"/>
        <v>640</v>
      </c>
      <c r="EG131" s="157"/>
      <c r="EH131" s="505"/>
      <c r="EI131" s="506"/>
      <c r="EJ131" s="609"/>
      <c r="EK131" s="610"/>
      <c r="EL131" s="611"/>
    </row>
    <row r="132" spans="12:142" x14ac:dyDescent="0.2">
      <c r="L132" s="146" t="s">
        <v>1695</v>
      </c>
      <c r="M132" s="20" t="s">
        <v>1579</v>
      </c>
      <c r="N132" s="151" t="s">
        <v>1696</v>
      </c>
      <c r="O132" s="403"/>
      <c r="Q132" s="54"/>
      <c r="R132" s="89"/>
      <c r="S132" s="85"/>
      <c r="U132" s="146" t="s">
        <v>678</v>
      </c>
      <c r="V132" s="143" t="s">
        <v>82</v>
      </c>
      <c r="W132" s="151" t="s">
        <v>777</v>
      </c>
      <c r="AY132" s="209" t="s">
        <v>431</v>
      </c>
      <c r="AZ132" s="58" t="s">
        <v>303</v>
      </c>
      <c r="BA132" s="131" t="str">
        <f t="shared" si="1"/>
        <v>ДП PIANO.3.купе</v>
      </c>
      <c r="BW132" s="100" t="s">
        <v>457</v>
      </c>
      <c r="BX132" s="667" t="s">
        <v>139</v>
      </c>
      <c r="BY132" s="131" t="str">
        <f t="shared" si="82"/>
        <v>ФР ECO-FIT.E.Сатин</v>
      </c>
      <c r="CA132" s="412"/>
      <c r="CB132" s="207"/>
      <c r="CC132" s="208"/>
      <c r="DD132" s="157" t="s">
        <v>1476</v>
      </c>
      <c r="DE132" s="158">
        <v>6290</v>
      </c>
      <c r="DF132" s="490">
        <f t="shared" si="86"/>
        <v>6290</v>
      </c>
      <c r="DG132" s="491"/>
      <c r="DH132" s="492">
        <f t="shared" si="87"/>
        <v>6290</v>
      </c>
      <c r="DU132" s="158"/>
      <c r="DV132" s="157"/>
      <c r="DW132" s="158"/>
      <c r="DX132" s="490"/>
      <c r="DY132" s="491"/>
      <c r="DZ132" s="492"/>
      <c r="EG132" s="157"/>
      <c r="EH132" s="505"/>
      <c r="EI132" s="506"/>
      <c r="EJ132" s="609"/>
      <c r="EK132" s="610"/>
      <c r="EL132" s="611"/>
    </row>
    <row r="133" spans="12:142" x14ac:dyDescent="0.2">
      <c r="L133" s="146" t="s">
        <v>1697</v>
      </c>
      <c r="M133" s="20" t="s">
        <v>1580</v>
      </c>
      <c r="N133" s="151" t="s">
        <v>1698</v>
      </c>
      <c r="O133" s="403"/>
      <c r="Q133" s="54" t="s">
        <v>873</v>
      </c>
      <c r="R133" s="89" t="s">
        <v>54</v>
      </c>
      <c r="S133" s="85"/>
      <c r="U133" s="146" t="s">
        <v>679</v>
      </c>
      <c r="V133" s="143" t="s">
        <v>83</v>
      </c>
      <c r="W133" s="151" t="s">
        <v>778</v>
      </c>
      <c r="AY133" s="657"/>
      <c r="AZ133" s="658"/>
      <c r="BA133" s="659"/>
      <c r="BW133" s="157" t="s">
        <v>458</v>
      </c>
      <c r="BX133" s="232" t="s">
        <v>951</v>
      </c>
      <c r="BY133" s="130" t="str">
        <f t="shared" si="82"/>
        <v>ФР ECO-FIT.F.Фільонка</v>
      </c>
      <c r="CA133" s="220" t="s">
        <v>1843</v>
      </c>
      <c r="CB133" s="129" t="s">
        <v>929</v>
      </c>
      <c r="CC133" s="130" t="str">
        <f>CONCATENATE(CA133,".",CB133)</f>
        <v>ДП Neapol.фальц.робоча.(ні)</v>
      </c>
      <c r="DD133" s="595"/>
      <c r="DE133" s="596"/>
      <c r="DF133" s="597"/>
      <c r="DG133" s="598"/>
      <c r="DH133" s="599"/>
      <c r="DU133" s="158"/>
      <c r="DV133" s="709"/>
      <c r="DW133" s="710"/>
      <c r="DX133" s="711"/>
      <c r="DY133" s="712"/>
      <c r="DZ133" s="713"/>
      <c r="EG133" s="157"/>
      <c r="EH133" s="157" t="s">
        <v>1104</v>
      </c>
      <c r="EI133" s="158">
        <v>0</v>
      </c>
      <c r="EJ133" s="490">
        <f>ROUND(((EI133-(EI133/6))/$DD$3)*$DE$3,2)</f>
        <v>0</v>
      </c>
      <c r="EK133" s="491"/>
      <c r="EL133" s="492">
        <f>IF(EK133="",EJ133,
IF(AND($EI$10&gt;=VLOOKUP(EK133,$EH$5:$EL$9,2,0),$EI$10&lt;=VLOOKUP(EK133,$EH$5:$EL$9,3,0)),
(EJ133*(1-VLOOKUP(EK133,$EH$5:$EL$9,4,0))),
EJ133))</f>
        <v>0</v>
      </c>
    </row>
    <row r="134" spans="12:142" x14ac:dyDescent="0.2">
      <c r="L134" s="146" t="s">
        <v>1699</v>
      </c>
      <c r="M134" s="20" t="s">
        <v>1581</v>
      </c>
      <c r="N134" s="151" t="s">
        <v>1700</v>
      </c>
      <c r="O134" s="403"/>
      <c r="P134" s="20"/>
      <c r="Q134" s="54" t="s">
        <v>1709</v>
      </c>
      <c r="R134" s="89" t="s">
        <v>54</v>
      </c>
      <c r="S134" s="85"/>
      <c r="U134" s="146" t="s">
        <v>680</v>
      </c>
      <c r="V134" s="143" t="s">
        <v>84</v>
      </c>
      <c r="W134" s="151" t="s">
        <v>779</v>
      </c>
      <c r="AY134" s="220" t="s">
        <v>1744</v>
      </c>
      <c r="AZ134" s="129" t="s">
        <v>302</v>
      </c>
      <c r="BA134" s="130" t="str">
        <f t="shared" si="1"/>
        <v>ДП Viva.1.фальц</v>
      </c>
      <c r="BW134" s="100" t="s">
        <v>458</v>
      </c>
      <c r="BX134" s="667" t="s">
        <v>139</v>
      </c>
      <c r="BY134" s="131" t="str">
        <f t="shared" si="82"/>
        <v>ФР ECO-FIT.F.Сатин</v>
      </c>
      <c r="CA134" s="220" t="s">
        <v>1843</v>
      </c>
      <c r="CB134" s="19" t="s">
        <v>1340</v>
      </c>
      <c r="CC134" s="130" t="str">
        <f>CONCATENATE(CA134,".",CB134)</f>
        <v>ДП Neapol.фальц.робоча.Stand цл Лів +3завіс</v>
      </c>
      <c r="DD134" s="157" t="s">
        <v>1767</v>
      </c>
      <c r="DE134" s="158">
        <v>5540</v>
      </c>
      <c r="DF134" s="490">
        <f>ROUND(((DE134-(DE134/6))/$DD$3)*$DE$3,2)</f>
        <v>5540</v>
      </c>
      <c r="DG134" s="491" t="s">
        <v>1892</v>
      </c>
      <c r="DH134" s="492">
        <f ca="1">IF(DG134="",DF134,
IF(AND($DE$10&gt;=VLOOKUP(DG134,$DD$5:$DH$9,2,0),$DE$10&lt;=VLOOKUP(DG134,$DD$5:$DH$9,3,0)),
(DF134*(1-VLOOKUP(DG134,$DD$5:$DH$9,4,0))),
DF134))</f>
        <v>5540</v>
      </c>
      <c r="DU134" s="158"/>
      <c r="DV134" s="157"/>
      <c r="DW134" s="158"/>
      <c r="DX134" s="490"/>
      <c r="DY134" s="491"/>
      <c r="DZ134" s="492"/>
      <c r="EG134" s="157"/>
      <c r="EH134" s="157" t="s">
        <v>1541</v>
      </c>
      <c r="EI134" s="158">
        <v>0</v>
      </c>
      <c r="EJ134" s="490">
        <f>ROUND(((EI134-(EI134/6))/$DD$3)*$DE$3,2)</f>
        <v>0</v>
      </c>
      <c r="EK134" s="491"/>
      <c r="EL134" s="492">
        <f>IF(EK134="",EJ134,
IF(AND($EI$10&gt;=VLOOKUP(EK134,$EH$5:$EL$9,2,0),$EI$10&lt;=VLOOKUP(EK134,$EH$5:$EL$9,3,0)),
(EJ134*(1-VLOOKUP(EK134,$EH$5:$EL$9,4,0))),
EJ134))</f>
        <v>0</v>
      </c>
    </row>
    <row r="135" spans="12:142" x14ac:dyDescent="0.2">
      <c r="L135" s="146" t="s">
        <v>1701</v>
      </c>
      <c r="M135" s="20" t="s">
        <v>1582</v>
      </c>
      <c r="N135" s="151" t="s">
        <v>1702</v>
      </c>
      <c r="O135" s="403"/>
      <c r="Q135" s="54" t="s">
        <v>877</v>
      </c>
      <c r="R135" s="89" t="s">
        <v>54</v>
      </c>
      <c r="S135" s="85"/>
      <c r="U135" s="147" t="s">
        <v>681</v>
      </c>
      <c r="V135" s="144" t="s">
        <v>85</v>
      </c>
      <c r="W135" s="152" t="s">
        <v>780</v>
      </c>
      <c r="AY135" s="209" t="s">
        <v>1744</v>
      </c>
      <c r="AZ135" s="58" t="s">
        <v>303</v>
      </c>
      <c r="BA135" s="131" t="str">
        <f t="shared" si="1"/>
        <v>ДП Viva.1.купе</v>
      </c>
      <c r="BW135" s="157" t="s">
        <v>459</v>
      </c>
      <c r="BX135" s="232" t="s">
        <v>951</v>
      </c>
      <c r="BY135" s="130" t="str">
        <f t="shared" si="82"/>
        <v>ФР ECO-FIT.G.Фільонка</v>
      </c>
      <c r="CA135" s="220" t="s">
        <v>1843</v>
      </c>
      <c r="CB135" s="19" t="s">
        <v>1341</v>
      </c>
      <c r="CC135" s="130" t="str">
        <f>CONCATENATE(CA135,".",CB135)</f>
        <v>ДП Neapol.фальц.робоча.Stand цл Пр +3завіс</v>
      </c>
      <c r="DD135" s="157" t="s">
        <v>1768</v>
      </c>
      <c r="DE135" s="158">
        <v>6290</v>
      </c>
      <c r="DF135" s="490">
        <f>ROUND(((DE135-(DE135/6))/$DD$3)*$DE$3,2)</f>
        <v>6290</v>
      </c>
      <c r="DG135" s="491" t="s">
        <v>1892</v>
      </c>
      <c r="DH135" s="492">
        <f ca="1">IF(DG135="",DF135,
IF(AND($DE$10&gt;=VLOOKUP(DG135,$DD$5:$DH$9,2,0),$DE$10&lt;=VLOOKUP(DG135,$DD$5:$DH$9,3,0)),
(DF135*(1-VLOOKUP(DG135,$DD$5:$DH$9,4,0))),
DF135))</f>
        <v>6290</v>
      </c>
      <c r="DU135" s="158"/>
      <c r="DV135" s="56" t="s">
        <v>948</v>
      </c>
      <c r="DW135" s="97">
        <v>0</v>
      </c>
      <c r="DX135" s="607">
        <f>ROUND(((DW135-(DW135/6))/$DD$3)*$DE$3,2)</f>
        <v>0</v>
      </c>
      <c r="DY135" s="487"/>
      <c r="DZ135" s="486">
        <f>IF(DY135="",DX135,
IF(AND($DW$10&gt;=VLOOKUP(DY135,$DV$5:$DZ$9,2,0),$DW$10&lt;=VLOOKUP(DY135,$DV$5:$DZ$9,3,0)),
(DX135*(1-VLOOKUP(DY135,$DV$5:$DZ$9,4,0))),
DX135))</f>
        <v>0</v>
      </c>
      <c r="EG135" s="157"/>
      <c r="EH135" s="100" t="s">
        <v>1107</v>
      </c>
      <c r="EI135" s="156">
        <v>170</v>
      </c>
      <c r="EJ135" s="498">
        <f>ROUND(((EI135-(EI135/6))/$DD$3)*$DE$3,2)</f>
        <v>170</v>
      </c>
      <c r="EK135" s="493"/>
      <c r="EL135" s="494">
        <f>IF(EK135="",EJ135,
IF(AND($EI$10&gt;=VLOOKUP(EK135,$EH$5:$EL$9,2,0),$EI$10&lt;=VLOOKUP(EK135,$EH$5:$EL$9,3,0)),
(EJ135*(1-VLOOKUP(EK135,$EH$5:$EL$9,4,0))),
EJ135))</f>
        <v>170</v>
      </c>
    </row>
    <row r="136" spans="12:142" x14ac:dyDescent="0.2">
      <c r="L136" s="146" t="s">
        <v>1703</v>
      </c>
      <c r="M136" s="20" t="s">
        <v>1583</v>
      </c>
      <c r="N136" s="151" t="s">
        <v>1704</v>
      </c>
      <c r="O136" s="403"/>
      <c r="P136" s="20"/>
      <c r="Q136" s="54" t="s">
        <v>878</v>
      </c>
      <c r="R136" s="89" t="s">
        <v>54</v>
      </c>
      <c r="S136" s="85"/>
      <c r="U136" s="145" t="s">
        <v>682</v>
      </c>
      <c r="V136" s="93" t="s">
        <v>26</v>
      </c>
      <c r="W136" s="92" t="s">
        <v>973</v>
      </c>
      <c r="AY136" s="220" t="s">
        <v>1747</v>
      </c>
      <c r="AZ136" s="129" t="s">
        <v>302</v>
      </c>
      <c r="BA136" s="130" t="str">
        <f t="shared" si="1"/>
        <v>ДП Viva.2.фальц</v>
      </c>
      <c r="BW136" s="100" t="s">
        <v>459</v>
      </c>
      <c r="BX136" s="667" t="s">
        <v>139</v>
      </c>
      <c r="BY136" s="131" t="str">
        <f t="shared" si="82"/>
        <v>ФР ECO-FIT.G.Сатин</v>
      </c>
      <c r="CA136" s="220" t="s">
        <v>1843</v>
      </c>
      <c r="CC136" s="130"/>
      <c r="DD136" s="157" t="s">
        <v>1769</v>
      </c>
      <c r="DE136" s="158">
        <v>5540</v>
      </c>
      <c r="DF136" s="490">
        <f>ROUND(((DE136-(DE136/6))/$DD$3)*$DE$3,2)</f>
        <v>5540</v>
      </c>
      <c r="DG136" s="491" t="s">
        <v>1892</v>
      </c>
      <c r="DH136" s="492">
        <f ca="1">IF(DG136="",DF136,
IF(AND($DE$10&gt;=VLOOKUP(DG136,$DD$5:$DH$9,2,0),$DE$10&lt;=VLOOKUP(DG136,$DD$5:$DH$9,3,0)),
(DF136*(1-VLOOKUP(DG136,$DD$5:$DH$9,4,0))),
DF136))</f>
        <v>5540</v>
      </c>
      <c r="DU136" s="158"/>
      <c r="DV136" s="56" t="s">
        <v>1168</v>
      </c>
      <c r="DW136" s="97">
        <v>0</v>
      </c>
      <c r="DX136" s="503">
        <f>ROUND(((DW136-(DW136/6))/$DD$3)*$DE$3,2)</f>
        <v>0</v>
      </c>
      <c r="DY136" s="487"/>
      <c r="DZ136" s="486">
        <f>IF(DY136="",DX136,
IF(AND($DW$10&gt;=VLOOKUP(DY136,$DV$5:$DZ$9,2,0),$DW$10&lt;=VLOOKUP(DY136,$DV$5:$DZ$9,3,0)),
(DX136*(1-VLOOKUP(DY136,$DV$5:$DZ$9,4,0))),
DX136))</f>
        <v>0</v>
      </c>
      <c r="EG136" s="157"/>
      <c r="EH136" s="100" t="s">
        <v>1542</v>
      </c>
      <c r="EI136" s="156">
        <v>230</v>
      </c>
      <c r="EJ136" s="498">
        <f>ROUND(((EI136-(EI136/6))/$DD$3)*$DE$3,2)</f>
        <v>230</v>
      </c>
      <c r="EK136" s="493"/>
      <c r="EL136" s="494">
        <f>IF(EK136="",EJ136,
IF(AND($EI$10&gt;=VLOOKUP(EK136,$EH$5:$EL$9,2,0),$EI$10&lt;=VLOOKUP(EK136,$EH$5:$EL$9,3,0)),
(EJ136*(1-VLOOKUP(EK136,$EH$5:$EL$9,4,0))),
EJ136))</f>
        <v>230</v>
      </c>
    </row>
    <row r="137" spans="12:142" x14ac:dyDescent="0.2">
      <c r="L137" s="147" t="s">
        <v>1705</v>
      </c>
      <c r="M137" s="237" t="s">
        <v>1584</v>
      </c>
      <c r="N137" s="152" t="s">
        <v>1706</v>
      </c>
      <c r="O137" s="403"/>
      <c r="Q137" s="54" t="s">
        <v>879</v>
      </c>
      <c r="R137" s="89" t="s">
        <v>54</v>
      </c>
      <c r="S137" s="85"/>
      <c r="U137" s="146" t="s">
        <v>683</v>
      </c>
      <c r="V137" s="143" t="s">
        <v>27</v>
      </c>
      <c r="W137" s="151" t="s">
        <v>974</v>
      </c>
      <c r="AY137" s="209" t="s">
        <v>1747</v>
      </c>
      <c r="AZ137" s="58" t="s">
        <v>303</v>
      </c>
      <c r="BA137" s="131" t="str">
        <f t="shared" si="1"/>
        <v>ДП Viva.2.купе</v>
      </c>
      <c r="BW137" s="157" t="s">
        <v>460</v>
      </c>
      <c r="BX137" s="232" t="s">
        <v>951</v>
      </c>
      <c r="BY137" s="130" t="str">
        <f t="shared" si="82"/>
        <v>ФР ECO-FIT.H.Фільонка</v>
      </c>
      <c r="CA137" s="220" t="s">
        <v>1843</v>
      </c>
      <c r="CB137" s="19" t="s">
        <v>1344</v>
      </c>
      <c r="CC137" s="130" t="str">
        <f t="shared" ref="CC137:CC143" si="88">CONCATENATE(CA137,".",CB137)</f>
        <v>ДП Neapol.фальц.робоча.Stand ст Лів +3завіс</v>
      </c>
      <c r="DD137" s="157" t="s">
        <v>1770</v>
      </c>
      <c r="DE137" s="158">
        <v>6290</v>
      </c>
      <c r="DF137" s="490">
        <f>ROUND(((DE137-(DE137/6))/$DD$3)*$DE$3,2)</f>
        <v>6290</v>
      </c>
      <c r="DG137" s="491" t="s">
        <v>1892</v>
      </c>
      <c r="DH137" s="492">
        <f ca="1">IF(DG137="",DF137,
IF(AND($DE$10&gt;=VLOOKUP(DG137,$DD$5:$DH$9,2,0),$DE$10&lt;=VLOOKUP(DG137,$DD$5:$DH$9,3,0)),
(DF137*(1-VLOOKUP(DG137,$DD$5:$DH$9,4,0))),
DF137))</f>
        <v>6290</v>
      </c>
      <c r="DU137" s="158"/>
      <c r="DV137" s="56" t="s">
        <v>1008</v>
      </c>
      <c r="DW137" s="97">
        <v>0</v>
      </c>
      <c r="DX137" s="503">
        <f>ROUND(((DW137-(DW137/6))/$DD$3)*$DE$3,2)</f>
        <v>0</v>
      </c>
      <c r="DY137" s="487"/>
      <c r="DZ137" s="486">
        <f>IF(DY137="",DX137,
IF(AND($DW$10&gt;=VLOOKUP(DY137,$DV$5:$DZ$9,2,0),$DW$10&lt;=VLOOKUP(DY137,$DV$5:$DZ$9,3,0)),
(DX137*(1-VLOOKUP(DY137,$DV$5:$DZ$9,4,0))),
DX137))</f>
        <v>0</v>
      </c>
      <c r="EG137" s="157"/>
      <c r="EH137" s="505"/>
      <c r="EI137" s="506"/>
      <c r="EJ137" s="609"/>
      <c r="EK137" s="610"/>
      <c r="EL137" s="611"/>
    </row>
    <row r="138" spans="12:142" x14ac:dyDescent="0.2">
      <c r="L138" s="54"/>
      <c r="M138" s="44"/>
      <c r="N138" s="85"/>
      <c r="O138" s="403"/>
      <c r="Q138" s="54"/>
      <c r="R138" s="89"/>
      <c r="S138" s="85"/>
      <c r="U138" s="146" t="s">
        <v>684</v>
      </c>
      <c r="V138" s="143" t="s">
        <v>28</v>
      </c>
      <c r="W138" s="151" t="s">
        <v>975</v>
      </c>
      <c r="AY138" s="657"/>
      <c r="AZ138" s="658"/>
      <c r="BA138" s="659"/>
      <c r="BW138" s="100" t="s">
        <v>460</v>
      </c>
      <c r="BX138" s="667" t="s">
        <v>139</v>
      </c>
      <c r="BY138" s="131" t="str">
        <f t="shared" si="82"/>
        <v>ФР ECO-FIT.H.Сатин</v>
      </c>
      <c r="CA138" s="220" t="s">
        <v>1843</v>
      </c>
      <c r="CB138" s="19" t="s">
        <v>1345</v>
      </c>
      <c r="CC138" s="130" t="str">
        <f t="shared" si="88"/>
        <v>ДП Neapol.фальц.робоча.Stand ст Пр +3завіс</v>
      </c>
      <c r="DD138" s="595"/>
      <c r="DE138" s="596"/>
      <c r="DF138" s="597"/>
      <c r="DG138" s="598"/>
      <c r="DH138" s="599"/>
      <c r="DU138" s="158"/>
      <c r="DV138" s="600"/>
      <c r="DW138" s="601"/>
      <c r="DX138" s="604"/>
      <c r="DY138" s="605"/>
      <c r="DZ138" s="606"/>
      <c r="EG138" s="157"/>
      <c r="EH138" s="157" t="s">
        <v>1110</v>
      </c>
      <c r="EI138" s="158">
        <v>0</v>
      </c>
      <c r="EJ138" s="490">
        <f>ROUND(((EI138-(EI138/6))/$DD$3)*$DE$3,2)</f>
        <v>0</v>
      </c>
      <c r="EK138" s="491"/>
      <c r="EL138" s="492">
        <f>IF(EK138="",EJ138,
IF(AND($EI$10&gt;=VLOOKUP(EK138,$EH$5:$EL$9,2,0),$EI$10&lt;=VLOOKUP(EK138,$EH$5:$EL$9,3,0)),
(EJ138*(1-VLOOKUP(EK138,$EH$5:$EL$9,4,0))),
EJ138))</f>
        <v>0</v>
      </c>
    </row>
    <row r="139" spans="12:142" x14ac:dyDescent="0.2">
      <c r="L139" s="54" t="s">
        <v>451</v>
      </c>
      <c r="M139" s="44" t="s">
        <v>223</v>
      </c>
      <c r="N139" s="85" t="s">
        <v>751</v>
      </c>
      <c r="O139" s="403" t="s">
        <v>196</v>
      </c>
      <c r="Q139" s="54" t="s">
        <v>370</v>
      </c>
      <c r="R139" s="89" t="s">
        <v>54</v>
      </c>
      <c r="S139" s="85"/>
      <c r="U139" s="146" t="s">
        <v>685</v>
      </c>
      <c r="V139" s="143" t="s">
        <v>29</v>
      </c>
      <c r="W139" s="151" t="s">
        <v>976</v>
      </c>
      <c r="AY139" s="220" t="s">
        <v>432</v>
      </c>
      <c r="AZ139" s="129" t="s">
        <v>302</v>
      </c>
      <c r="BA139" s="130" t="str">
        <f t="shared" si="1"/>
        <v>ДП VIENTO.1.фальц</v>
      </c>
      <c r="BW139" s="157" t="s">
        <v>461</v>
      </c>
      <c r="BX139" s="232" t="s">
        <v>951</v>
      </c>
      <c r="BY139" s="130" t="str">
        <f t="shared" si="82"/>
        <v>ФР ECO-FIT.I.Фільонка</v>
      </c>
      <c r="CA139" s="217" t="s">
        <v>1844</v>
      </c>
      <c r="CB139" s="126" t="s">
        <v>929</v>
      </c>
      <c r="CC139" s="127" t="str">
        <f t="shared" si="88"/>
        <v>ДП Neapol.фальц.неробоча.(ні)</v>
      </c>
      <c r="DD139" s="157" t="s">
        <v>546</v>
      </c>
      <c r="DE139" s="158">
        <v>5100</v>
      </c>
      <c r="DF139" s="490">
        <f t="shared" ref="DF139:DF152" si="89">ROUND(((DE139-(DE139/6))/$DD$3)*$DE$3,2)</f>
        <v>5100</v>
      </c>
      <c r="DG139" s="491"/>
      <c r="DH139" s="492">
        <f t="shared" ref="DH139:DH152" si="90">IF(DG139="",DF139,
IF(AND($DE$10&gt;=VLOOKUP(DG139,$DD$5:$DH$9,2,0),$DE$10&lt;=VLOOKUP(DG139,$DD$5:$DH$9,3,0)),
(DF139*(1-VLOOKUP(DG139,$DD$5:$DH$9,4,0))),
DF139))</f>
        <v>5100</v>
      </c>
      <c r="DU139" s="158"/>
      <c r="DV139" s="56" t="s">
        <v>949</v>
      </c>
      <c r="DW139" s="97">
        <v>0</v>
      </c>
      <c r="DX139" s="607">
        <f>ROUND(((DW139-(DW139/6))/$DD$3)*$DE$3,2)</f>
        <v>0</v>
      </c>
      <c r="DY139" s="487"/>
      <c r="DZ139" s="486">
        <f t="shared" ref="DZ139:DZ148" si="91">IF(DY139="",DX139,
IF(AND($DW$10&gt;=VLOOKUP(DY139,$DV$5:$DZ$9,2,0),$DW$10&lt;=VLOOKUP(DY139,$DV$5:$DZ$9,3,0)),
(DX139*(1-VLOOKUP(DY139,$DV$5:$DZ$9,4,0))),
DX139))</f>
        <v>0</v>
      </c>
      <c r="EG139" s="157"/>
      <c r="EH139" s="157" t="s">
        <v>1543</v>
      </c>
      <c r="EI139" s="158">
        <v>0</v>
      </c>
      <c r="EJ139" s="490">
        <f>ROUND(((EI139-(EI139/6))/$DD$3)*$DE$3,2)</f>
        <v>0</v>
      </c>
      <c r="EK139" s="491"/>
      <c r="EL139" s="492">
        <f>IF(EK139="",EJ139,
IF(AND($EI$10&gt;=VLOOKUP(EK139,$EH$5:$EL$9,2,0),$EI$10&lt;=VLOOKUP(EK139,$EH$5:$EL$9,3,0)),
(EJ139*(1-VLOOKUP(EK139,$EH$5:$EL$9,4,0))),
EJ139))</f>
        <v>0</v>
      </c>
    </row>
    <row r="140" spans="12:142" x14ac:dyDescent="0.2">
      <c r="L140" s="54"/>
      <c r="M140" s="44"/>
      <c r="N140" s="85"/>
      <c r="O140" s="403"/>
      <c r="Q140" s="54" t="s">
        <v>371</v>
      </c>
      <c r="R140" s="89" t="s">
        <v>54</v>
      </c>
      <c r="S140" s="85"/>
      <c r="U140" s="146" t="s">
        <v>686</v>
      </c>
      <c r="V140" s="143" t="s">
        <v>30</v>
      </c>
      <c r="W140" s="151" t="s">
        <v>977</v>
      </c>
      <c r="AY140" s="209" t="s">
        <v>432</v>
      </c>
      <c r="AZ140" s="58" t="s">
        <v>303</v>
      </c>
      <c r="BA140" s="131" t="str">
        <f t="shared" si="1"/>
        <v>ДП VIENTO.1.купе</v>
      </c>
      <c r="BW140" s="100" t="s">
        <v>461</v>
      </c>
      <c r="BX140" s="667" t="s">
        <v>139</v>
      </c>
      <c r="BY140" s="131" t="str">
        <f t="shared" si="82"/>
        <v>ФР ECO-FIT.I.Сатин</v>
      </c>
      <c r="CA140" s="220" t="s">
        <v>1844</v>
      </c>
      <c r="CB140" s="19" t="s">
        <v>1156</v>
      </c>
      <c r="CC140" s="130" t="str">
        <f t="shared" si="88"/>
        <v>ДП Neapol.фальц.неробоча.Пл Stand +3завіс</v>
      </c>
      <c r="DD140" s="157" t="s">
        <v>1477</v>
      </c>
      <c r="DE140" s="158">
        <v>5940</v>
      </c>
      <c r="DF140" s="490">
        <f t="shared" si="89"/>
        <v>5940</v>
      </c>
      <c r="DG140" s="491"/>
      <c r="DH140" s="492">
        <f t="shared" si="90"/>
        <v>5940</v>
      </c>
      <c r="DU140" s="158"/>
      <c r="DV140" s="56" t="s">
        <v>1169</v>
      </c>
      <c r="DW140" s="97">
        <v>0</v>
      </c>
      <c r="DX140" s="503">
        <f>ROUND(((DW140-(DW140/6))/$DD$3)*$DE$3,2)</f>
        <v>0</v>
      </c>
      <c r="DY140" s="487"/>
      <c r="DZ140" s="486">
        <f t="shared" si="91"/>
        <v>0</v>
      </c>
      <c r="EG140" s="157"/>
      <c r="EH140" s="100" t="s">
        <v>1112</v>
      </c>
      <c r="EI140" s="156">
        <v>270</v>
      </c>
      <c r="EJ140" s="498">
        <f>ROUND(((EI140-(EI140/6))/$DD$3)*$DE$3,2)</f>
        <v>270</v>
      </c>
      <c r="EK140" s="493"/>
      <c r="EL140" s="494">
        <f>IF(EK140="",EJ140,
IF(AND($EI$10&gt;=VLOOKUP(EK140,$EH$5:$EL$9,2,0),$EI$10&lt;=VLOOKUP(EK140,$EH$5:$EL$9,3,0)),
(EJ140*(1-VLOOKUP(EK140,$EH$5:$EL$9,4,0))),
EJ140))</f>
        <v>270</v>
      </c>
    </row>
    <row r="141" spans="12:142" x14ac:dyDescent="0.2">
      <c r="L141" s="54" t="s">
        <v>452</v>
      </c>
      <c r="M141" s="647" t="s">
        <v>224</v>
      </c>
      <c r="N141" s="85" t="s">
        <v>233</v>
      </c>
      <c r="O141" s="403" t="s">
        <v>196</v>
      </c>
      <c r="P141" s="650"/>
      <c r="Q141" s="54" t="s">
        <v>372</v>
      </c>
      <c r="R141" s="89" t="s">
        <v>54</v>
      </c>
      <c r="S141" s="85"/>
      <c r="U141" s="146" t="s">
        <v>687</v>
      </c>
      <c r="V141" s="143" t="s">
        <v>31</v>
      </c>
      <c r="W141" s="151" t="s">
        <v>978</v>
      </c>
      <c r="AY141" s="220" t="s">
        <v>434</v>
      </c>
      <c r="AZ141" s="129" t="s">
        <v>302</v>
      </c>
      <c r="BA141" s="130" t="str">
        <f t="shared" si="1"/>
        <v>ДП VIENTO.2.фальц</v>
      </c>
      <c r="BW141" s="208"/>
      <c r="BX141" s="208"/>
      <c r="BY141" s="208"/>
      <c r="CA141" s="217" t="s">
        <v>1845</v>
      </c>
      <c r="CB141" s="126" t="s">
        <v>929</v>
      </c>
      <c r="CC141" s="127" t="str">
        <f t="shared" si="88"/>
        <v>ДП Neapol.купе.робоча.(ні)</v>
      </c>
      <c r="DD141" s="157" t="s">
        <v>547</v>
      </c>
      <c r="DE141" s="158">
        <v>5100</v>
      </c>
      <c r="DF141" s="490">
        <f t="shared" si="89"/>
        <v>5100</v>
      </c>
      <c r="DG141" s="491"/>
      <c r="DH141" s="492">
        <f t="shared" si="90"/>
        <v>5100</v>
      </c>
      <c r="DU141" s="158"/>
      <c r="DV141" s="56" t="s">
        <v>1009</v>
      </c>
      <c r="DW141" s="97">
        <v>0</v>
      </c>
      <c r="DX141" s="714">
        <f>ROUND(((DW141-(DW141/6))/$DD$3)*$DE$3,2)</f>
        <v>0</v>
      </c>
      <c r="DY141" s="487"/>
      <c r="DZ141" s="486">
        <f t="shared" si="91"/>
        <v>0</v>
      </c>
      <c r="EG141" s="157"/>
      <c r="EH141" s="100" t="s">
        <v>1544</v>
      </c>
      <c r="EI141" s="156">
        <v>360</v>
      </c>
      <c r="EJ141" s="498">
        <f>ROUND(((EI141-(EI141/6))/$DD$3)*$DE$3,2)</f>
        <v>360</v>
      </c>
      <c r="EK141" s="493"/>
      <c r="EL141" s="494">
        <f>IF(EK141="",EJ141,
IF(AND($EI$10&gt;=VLOOKUP(EK141,$EH$5:$EL$9,2,0),$EI$10&lt;=VLOOKUP(EK141,$EH$5:$EL$9,3,0)),
(EJ141*(1-VLOOKUP(EK141,$EH$5:$EL$9,4,0))),
EJ141))</f>
        <v>360</v>
      </c>
    </row>
    <row r="142" spans="12:142" x14ac:dyDescent="0.2">
      <c r="L142" s="54" t="s">
        <v>453</v>
      </c>
      <c r="M142" s="647" t="s">
        <v>225</v>
      </c>
      <c r="N142" s="85" t="s">
        <v>234</v>
      </c>
      <c r="O142" s="403" t="s">
        <v>196</v>
      </c>
      <c r="Q142" s="54"/>
      <c r="R142" s="89"/>
      <c r="S142" s="85"/>
      <c r="U142" s="146" t="s">
        <v>688</v>
      </c>
      <c r="V142" s="143" t="s">
        <v>32</v>
      </c>
      <c r="W142" s="151" t="s">
        <v>979</v>
      </c>
      <c r="AY142" s="209" t="s">
        <v>434</v>
      </c>
      <c r="AZ142" s="58" t="s">
        <v>303</v>
      </c>
      <c r="BA142" s="131" t="str">
        <f t="shared" si="1"/>
        <v>ДП VIENTO.2.купе</v>
      </c>
      <c r="BW142" s="54"/>
      <c r="BX142" s="57"/>
      <c r="BY142" s="66"/>
      <c r="CA142" s="220" t="s">
        <v>1845</v>
      </c>
      <c r="CB142" s="129" t="s">
        <v>140</v>
      </c>
      <c r="CC142" s="130" t="str">
        <f t="shared" si="88"/>
        <v>ДП Neapol.купе.робоча.Ручка-Захват</v>
      </c>
      <c r="DD142" s="157" t="s">
        <v>1478</v>
      </c>
      <c r="DE142" s="158">
        <v>5940</v>
      </c>
      <c r="DF142" s="490">
        <f t="shared" si="89"/>
        <v>5940</v>
      </c>
      <c r="DG142" s="491"/>
      <c r="DH142" s="492">
        <f t="shared" si="90"/>
        <v>5940</v>
      </c>
      <c r="DU142" s="158"/>
      <c r="DV142" s="600"/>
      <c r="DW142" s="601"/>
      <c r="DX142" s="604"/>
      <c r="DY142" s="605"/>
      <c r="DZ142" s="606"/>
      <c r="EG142" s="157"/>
      <c r="EH142" s="505"/>
      <c r="EI142" s="506"/>
      <c r="EJ142" s="609"/>
      <c r="EK142" s="610"/>
      <c r="EL142" s="611"/>
    </row>
    <row r="143" spans="12:142" x14ac:dyDescent="0.2">
      <c r="L143" s="54" t="s">
        <v>454</v>
      </c>
      <c r="M143" s="647" t="s">
        <v>295</v>
      </c>
      <c r="N143" s="85" t="s">
        <v>296</v>
      </c>
      <c r="O143" s="403" t="s">
        <v>196</v>
      </c>
      <c r="Q143" s="514" t="s">
        <v>1418</v>
      </c>
      <c r="R143" s="89" t="s">
        <v>54</v>
      </c>
      <c r="S143" s="85"/>
      <c r="U143" s="146" t="s">
        <v>689</v>
      </c>
      <c r="V143" s="143" t="s">
        <v>33</v>
      </c>
      <c r="W143" s="151" t="s">
        <v>980</v>
      </c>
      <c r="AY143" s="220" t="s">
        <v>435</v>
      </c>
      <c r="AZ143" s="129" t="s">
        <v>302</v>
      </c>
      <c r="BA143" s="130" t="str">
        <f t="shared" si="1"/>
        <v>ДП VIENTO.3.фальц</v>
      </c>
      <c r="BW143" s="100"/>
      <c r="BX143" s="667"/>
      <c r="BY143" s="131"/>
      <c r="CA143" s="220" t="s">
        <v>1845</v>
      </c>
      <c r="CB143" s="129" t="s">
        <v>192</v>
      </c>
      <c r="CC143" s="130" t="str">
        <f t="shared" si="88"/>
        <v>ДП Neapol.купе.робоча.Ручка-Замок</v>
      </c>
      <c r="DD143" s="157" t="s">
        <v>548</v>
      </c>
      <c r="DE143" s="158">
        <v>5100</v>
      </c>
      <c r="DF143" s="490">
        <f t="shared" si="89"/>
        <v>5100</v>
      </c>
      <c r="DG143" s="491"/>
      <c r="DH143" s="492">
        <f t="shared" si="90"/>
        <v>5100</v>
      </c>
      <c r="DU143" s="158"/>
      <c r="DV143" s="56" t="s">
        <v>1611</v>
      </c>
      <c r="DW143" s="97">
        <v>0</v>
      </c>
      <c r="DX143" s="607">
        <f>ROUND(((DW143-(DW143/6))/$DD$3)*$DE$3,2)</f>
        <v>0</v>
      </c>
      <c r="DY143" s="487"/>
      <c r="DZ143" s="486">
        <f>IF(DY143="",DX143,
IF(AND($DW$10&gt;=VLOOKUP(DY143,$DV$5:$DZ$9,2,0),$DW$10&lt;=VLOOKUP(DY143,$DV$5:$DZ$9,3,0)),
(DX143*(1-VLOOKUP(DY143,$DV$5:$DZ$9,4,0))),
DX143))</f>
        <v>0</v>
      </c>
      <c r="EG143" s="157"/>
      <c r="EH143" s="157" t="s">
        <v>1115</v>
      </c>
      <c r="EI143" s="158">
        <v>0</v>
      </c>
      <c r="EJ143" s="490">
        <f>ROUND(((EI143-(EI143/6))/$DD$3)*$DE$3,2)</f>
        <v>0</v>
      </c>
      <c r="EK143" s="491"/>
      <c r="EL143" s="492">
        <f>IF(EK143="",EJ143,
IF(AND($EI$10&gt;=VLOOKUP(EK143,$EH$5:$EL$9,2,0),$EI$10&lt;=VLOOKUP(EK143,$EH$5:$EL$9,3,0)),
(EJ143*(1-VLOOKUP(EK143,$EH$5:$EL$9,4,0))),
EJ143))</f>
        <v>0</v>
      </c>
    </row>
    <row r="144" spans="12:142" ht="10.8" thickBot="1" x14ac:dyDescent="0.25">
      <c r="L144" s="54" t="s">
        <v>455</v>
      </c>
      <c r="M144" s="647" t="s">
        <v>226</v>
      </c>
      <c r="N144" s="85" t="s">
        <v>235</v>
      </c>
      <c r="O144" s="403" t="s">
        <v>196</v>
      </c>
      <c r="Q144" s="515" t="s">
        <v>1414</v>
      </c>
      <c r="R144" s="89" t="s">
        <v>54</v>
      </c>
      <c r="S144" s="85"/>
      <c r="U144" s="147" t="s">
        <v>690</v>
      </c>
      <c r="V144" s="144" t="s">
        <v>34</v>
      </c>
      <c r="W144" s="152" t="s">
        <v>981</v>
      </c>
      <c r="AY144" s="209" t="s">
        <v>435</v>
      </c>
      <c r="AZ144" s="58" t="s">
        <v>303</v>
      </c>
      <c r="BA144" s="131" t="str">
        <f t="shared" si="1"/>
        <v>ДП VIENTO.3.купе</v>
      </c>
      <c r="BW144" s="54"/>
      <c r="BX144" s="57"/>
      <c r="BY144" s="66"/>
      <c r="CA144" s="412"/>
      <c r="CB144" s="207"/>
      <c r="CC144" s="208"/>
      <c r="DD144" s="157" t="s">
        <v>1479</v>
      </c>
      <c r="DE144" s="158">
        <v>5940</v>
      </c>
      <c r="DF144" s="490">
        <f t="shared" si="89"/>
        <v>5940</v>
      </c>
      <c r="DG144" s="491"/>
      <c r="DH144" s="492">
        <f t="shared" si="90"/>
        <v>5940</v>
      </c>
      <c r="DU144" s="158"/>
      <c r="DV144" s="56" t="s">
        <v>1612</v>
      </c>
      <c r="DW144" s="97">
        <v>0</v>
      </c>
      <c r="DX144" s="503">
        <f>ROUND(((DW144-(DW144/6))/$DD$3)*$DE$3,2)</f>
        <v>0</v>
      </c>
      <c r="DY144" s="487"/>
      <c r="DZ144" s="486">
        <f>IF(DY144="",DX144,
IF(AND($DW$10&gt;=VLOOKUP(DY144,$DV$5:$DZ$9,2,0),$DW$10&lt;=VLOOKUP(DY144,$DV$5:$DZ$9,3,0)),
(DX144*(1-VLOOKUP(DY144,$DV$5:$DZ$9,4,0))),
DX144))</f>
        <v>0</v>
      </c>
      <c r="EG144" s="157"/>
      <c r="EH144" s="157" t="s">
        <v>1720</v>
      </c>
      <c r="EI144" s="158">
        <v>1</v>
      </c>
      <c r="EJ144" s="490">
        <f>ROUND(((EI144-(EI144/6))/$DD$3)*$DE$3,2)</f>
        <v>1</v>
      </c>
      <c r="EK144" s="491"/>
      <c r="EL144" s="492">
        <f>IF(EK144="",EJ144,
IF(AND($EI$10&gt;=VLOOKUP(EK144,$EH$5:$EL$9,2,0),$EI$10&lt;=VLOOKUP(EK144,$EH$5:$EL$9,3,0)),
(EJ144*(1-VLOOKUP(EK144,$EH$5:$EL$9,4,0))),
EJ144))</f>
        <v>1</v>
      </c>
    </row>
    <row r="145" spans="12:143" x14ac:dyDescent="0.2">
      <c r="L145" s="54" t="s">
        <v>456</v>
      </c>
      <c r="M145" s="647" t="s">
        <v>227</v>
      </c>
      <c r="N145" s="85" t="s">
        <v>236</v>
      </c>
      <c r="O145" s="403" t="s">
        <v>196</v>
      </c>
      <c r="Q145" s="54"/>
      <c r="R145" s="89"/>
      <c r="S145" s="85"/>
      <c r="U145" s="415"/>
      <c r="V145" s="416"/>
      <c r="W145" s="151"/>
      <c r="AY145" s="220" t="s">
        <v>436</v>
      </c>
      <c r="AZ145" s="129" t="s">
        <v>302</v>
      </c>
      <c r="BA145" s="130" t="str">
        <f t="shared" si="1"/>
        <v>ДП VIENTO.4.фальц</v>
      </c>
      <c r="BW145" s="528"/>
      <c r="BX145" s="529"/>
      <c r="BY145" s="527"/>
      <c r="CA145" s="134" t="s">
        <v>1140</v>
      </c>
      <c r="CB145" s="126" t="s">
        <v>929</v>
      </c>
      <c r="CC145" s="127" t="str">
        <f>CONCATENATE(CA145,".",CB145)</f>
        <v>КД Classic.стандарт.1-стулков.(ні)</v>
      </c>
      <c r="DD145" s="157" t="s">
        <v>549</v>
      </c>
      <c r="DE145" s="158">
        <v>5100</v>
      </c>
      <c r="DF145" s="490">
        <f t="shared" si="89"/>
        <v>5100</v>
      </c>
      <c r="DG145" s="491"/>
      <c r="DH145" s="492">
        <f t="shared" si="90"/>
        <v>5100</v>
      </c>
      <c r="DU145" s="158"/>
      <c r="DV145" s="56" t="s">
        <v>1613</v>
      </c>
      <c r="DW145" s="97">
        <v>0</v>
      </c>
      <c r="DX145" s="714">
        <f>ROUND(((DW145-(DW145/6))/$DD$3)*$DE$3,2)</f>
        <v>0</v>
      </c>
      <c r="DY145" s="487"/>
      <c r="DZ145" s="486">
        <f>IF(DY145="",DX145,
IF(AND($DW$10&gt;=VLOOKUP(DY145,$DV$5:$DZ$9,2,0),$DW$10&lt;=VLOOKUP(DY145,$DV$5:$DZ$9,3,0)),
(DX145*(1-VLOOKUP(DY145,$DV$5:$DZ$9,4,0))),
DX145))</f>
        <v>0</v>
      </c>
      <c r="EG145" s="157"/>
      <c r="EH145" s="100" t="s">
        <v>1117</v>
      </c>
      <c r="EI145" s="156">
        <v>530</v>
      </c>
      <c r="EJ145" s="498">
        <f>ROUND(((EI145-(EI145/6))/$DD$3)*$DE$3,2)</f>
        <v>530</v>
      </c>
      <c r="EK145" s="493"/>
      <c r="EL145" s="494">
        <f>IF(EK145="",EJ145,
IF(AND($EI$10&gt;=VLOOKUP(EK145,$EH$5:$EL$9,2,0),$EI$10&lt;=VLOOKUP(EK145,$EH$5:$EL$9,3,0)),
(EJ145*(1-VLOOKUP(EK145,$EH$5:$EL$9,4,0))),
EJ145))</f>
        <v>530</v>
      </c>
    </row>
    <row r="146" spans="12:143" x14ac:dyDescent="0.2">
      <c r="L146" s="54" t="s">
        <v>457</v>
      </c>
      <c r="M146" s="647" t="s">
        <v>228</v>
      </c>
      <c r="N146" s="85" t="s">
        <v>237</v>
      </c>
      <c r="O146" s="403" t="s">
        <v>196</v>
      </c>
      <c r="Q146" s="650"/>
      <c r="R146" s="650"/>
      <c r="S146" s="650"/>
      <c r="U146" s="145" t="s">
        <v>691</v>
      </c>
      <c r="V146" s="93" t="s">
        <v>81</v>
      </c>
      <c r="W146" s="92" t="s">
        <v>776</v>
      </c>
      <c r="AY146" s="209" t="s">
        <v>436</v>
      </c>
      <c r="AZ146" s="58" t="s">
        <v>303</v>
      </c>
      <c r="BA146" s="131" t="str">
        <f t="shared" si="1"/>
        <v>ДП VIENTO.4.купе</v>
      </c>
      <c r="CA146" s="135" t="s">
        <v>1140</v>
      </c>
      <c r="CB146" s="129" t="s">
        <v>1156</v>
      </c>
      <c r="CC146" s="130" t="str">
        <f>CONCATENATE(CA146,".",CB146)</f>
        <v>КД Classic.стандарт.1-стулков.Пл Stand +3завіс</v>
      </c>
      <c r="DD146" s="157" t="s">
        <v>1480</v>
      </c>
      <c r="DE146" s="158">
        <v>5940</v>
      </c>
      <c r="DF146" s="490">
        <f t="shared" si="89"/>
        <v>5940</v>
      </c>
      <c r="DG146" s="491"/>
      <c r="DH146" s="492">
        <f t="shared" si="90"/>
        <v>5940</v>
      </c>
      <c r="DU146" s="158"/>
      <c r="DV146" s="600"/>
      <c r="DW146" s="601"/>
      <c r="DX146" s="604"/>
      <c r="DY146" s="605"/>
      <c r="DZ146" s="606"/>
      <c r="EG146" s="157"/>
      <c r="EH146" s="100" t="s">
        <v>1721</v>
      </c>
      <c r="EI146" s="156">
        <v>730</v>
      </c>
      <c r="EJ146" s="498">
        <f>ROUND(((EI146-(EI146/6))/$DD$3)*$DE$3,2)</f>
        <v>730</v>
      </c>
      <c r="EK146" s="493"/>
      <c r="EL146" s="494">
        <f>IF(EK146="",EJ146,
IF(AND($EI$10&gt;=VLOOKUP(EK146,$EH$5:$EL$9,2,0),$EI$10&lt;=VLOOKUP(EK146,$EH$5:$EL$9,3,0)),
(EJ146*(1-VLOOKUP(EK146,$EH$5:$EL$9,4,0))),
EJ146))</f>
        <v>730</v>
      </c>
    </row>
    <row r="147" spans="12:143" x14ac:dyDescent="0.2">
      <c r="L147" s="136" t="s">
        <v>458</v>
      </c>
      <c r="M147" s="647" t="s">
        <v>229</v>
      </c>
      <c r="N147" s="85" t="s">
        <v>238</v>
      </c>
      <c r="O147" s="403" t="s">
        <v>196</v>
      </c>
      <c r="Q147" s="54"/>
      <c r="R147" s="89"/>
      <c r="S147" s="85"/>
      <c r="U147" s="146" t="s">
        <v>692</v>
      </c>
      <c r="V147" s="143" t="s">
        <v>82</v>
      </c>
      <c r="W147" s="151" t="s">
        <v>777</v>
      </c>
      <c r="AY147" s="220" t="s">
        <v>437</v>
      </c>
      <c r="AZ147" s="129" t="s">
        <v>302</v>
      </c>
      <c r="BA147" s="130" t="str">
        <f t="shared" si="1"/>
        <v>ДП VIENTO.5.фальц</v>
      </c>
      <c r="CA147" s="134" t="s">
        <v>1141</v>
      </c>
      <c r="CB147" s="126" t="s">
        <v>929</v>
      </c>
      <c r="CC147" s="127" t="str">
        <f>CONCATENATE(CA147,".",CB147)</f>
        <v>КД Classic.стандарт.2-стулков.(ні)</v>
      </c>
      <c r="DD147" s="157" t="s">
        <v>550</v>
      </c>
      <c r="DE147" s="158">
        <v>5100</v>
      </c>
      <c r="DF147" s="490">
        <f t="shared" si="89"/>
        <v>5100</v>
      </c>
      <c r="DG147" s="491"/>
      <c r="DH147" s="492">
        <f t="shared" si="90"/>
        <v>5100</v>
      </c>
      <c r="DU147" s="158"/>
      <c r="DV147" s="56" t="s">
        <v>653</v>
      </c>
      <c r="DW147" s="97">
        <v>0</v>
      </c>
      <c r="DX147" s="388">
        <f>ROUND(((DW147-(DW147/6))/$DD$3)*$DE$3,2)</f>
        <v>0</v>
      </c>
      <c r="DY147" s="487"/>
      <c r="DZ147" s="486">
        <f t="shared" si="91"/>
        <v>0</v>
      </c>
      <c r="EG147" s="157"/>
      <c r="EH147" s="505"/>
      <c r="EI147" s="506"/>
      <c r="EJ147" s="609"/>
      <c r="EK147" s="610"/>
      <c r="EL147" s="611"/>
    </row>
    <row r="148" spans="12:143" x14ac:dyDescent="0.2">
      <c r="L148" s="136" t="s">
        <v>459</v>
      </c>
      <c r="M148" s="647" t="s">
        <v>230</v>
      </c>
      <c r="N148" s="519" t="s">
        <v>239</v>
      </c>
      <c r="O148" s="403" t="s">
        <v>196</v>
      </c>
      <c r="Q148" s="54"/>
      <c r="R148" s="89"/>
      <c r="S148" s="85"/>
      <c r="U148" s="146" t="s">
        <v>693</v>
      </c>
      <c r="V148" s="143" t="s">
        <v>83</v>
      </c>
      <c r="W148" s="151" t="s">
        <v>778</v>
      </c>
      <c r="AY148" s="209" t="s">
        <v>437</v>
      </c>
      <c r="AZ148" s="58" t="s">
        <v>303</v>
      </c>
      <c r="BA148" s="131" t="str">
        <f t="shared" si="1"/>
        <v>ДП VIENTO.5.купе</v>
      </c>
      <c r="CA148" s="135" t="s">
        <v>1141</v>
      </c>
      <c r="CB148" s="129" t="s">
        <v>1006</v>
      </c>
      <c r="CC148" s="130" t="str">
        <f>CONCATENATE(CA148,".",CB148)</f>
        <v>КД Classic.стандарт.2-стулков.6 завіс (3+3)</v>
      </c>
      <c r="DD148" s="157" t="s">
        <v>1481</v>
      </c>
      <c r="DE148" s="158">
        <v>5940</v>
      </c>
      <c r="DF148" s="490">
        <f t="shared" si="89"/>
        <v>5940</v>
      </c>
      <c r="DG148" s="491"/>
      <c r="DH148" s="492">
        <f t="shared" si="90"/>
        <v>5940</v>
      </c>
      <c r="DU148" s="158"/>
      <c r="DV148" s="56" t="s">
        <v>654</v>
      </c>
      <c r="DW148" s="97">
        <v>125</v>
      </c>
      <c r="DX148" s="388">
        <f>ROUND(((DW148-(DW148/6))/$DD$3)*$DE$3,2)</f>
        <v>125</v>
      </c>
      <c r="DY148" s="487"/>
      <c r="DZ148" s="486">
        <f t="shared" si="91"/>
        <v>125</v>
      </c>
      <c r="EG148" s="157"/>
      <c r="EH148" s="505"/>
      <c r="EI148" s="506"/>
      <c r="EJ148" s="609"/>
      <c r="EK148" s="610"/>
      <c r="EL148" s="611"/>
    </row>
    <row r="149" spans="12:143" x14ac:dyDescent="0.2">
      <c r="L149" s="136" t="s">
        <v>460</v>
      </c>
      <c r="M149" s="647" t="s">
        <v>231</v>
      </c>
      <c r="N149" s="85" t="s">
        <v>199</v>
      </c>
      <c r="O149" s="403" t="s">
        <v>196</v>
      </c>
      <c r="Q149" s="54"/>
      <c r="R149" s="89"/>
      <c r="S149" s="85"/>
      <c r="U149" s="146" t="s">
        <v>694</v>
      </c>
      <c r="V149" s="143" t="s">
        <v>84</v>
      </c>
      <c r="W149" s="151" t="s">
        <v>779</v>
      </c>
      <c r="AY149" s="220" t="s">
        <v>438</v>
      </c>
      <c r="AZ149" s="129" t="s">
        <v>302</v>
      </c>
      <c r="BA149" s="130" t="str">
        <f t="shared" si="1"/>
        <v>ДП VIENTO.1A.фальц</v>
      </c>
      <c r="CA149" s="412"/>
      <c r="CB149" s="207"/>
      <c r="CC149" s="208"/>
      <c r="DD149" s="157" t="s">
        <v>551</v>
      </c>
      <c r="DE149" s="158">
        <v>5100</v>
      </c>
      <c r="DF149" s="490">
        <f t="shared" si="89"/>
        <v>5100</v>
      </c>
      <c r="DG149" s="491"/>
      <c r="DH149" s="492">
        <f t="shared" si="90"/>
        <v>5100</v>
      </c>
      <c r="DU149" s="158"/>
      <c r="DV149" s="600"/>
      <c r="DW149" s="601"/>
      <c r="DX149" s="604"/>
      <c r="DY149" s="605"/>
      <c r="DZ149" s="606"/>
      <c r="EG149" s="157"/>
      <c r="EH149" s="157" t="s">
        <v>1121</v>
      </c>
      <c r="EI149" s="158">
        <v>0</v>
      </c>
      <c r="EJ149" s="490">
        <f>ROUND(((EI149-(EI149/6))/$DD$3)*$DE$3,2)</f>
        <v>0</v>
      </c>
      <c r="EK149" s="491"/>
      <c r="EL149" s="492">
        <f>IF(EK149="",EJ149,
IF(AND($EI$10&gt;=VLOOKUP(EK149,$EH$5:$EL$9,2,0),$EI$10&lt;=VLOOKUP(EK149,$EH$5:$EL$9,3,0)),
(EJ149*(1-VLOOKUP(EK149,$EH$5:$EL$9,4,0))),
EJ149))</f>
        <v>0</v>
      </c>
      <c r="EM149" s="113"/>
    </row>
    <row r="150" spans="12:143" x14ac:dyDescent="0.2">
      <c r="L150" s="54" t="s">
        <v>461</v>
      </c>
      <c r="M150" s="44" t="s">
        <v>232</v>
      </c>
      <c r="N150" s="85" t="s">
        <v>200</v>
      </c>
      <c r="O150" s="403" t="s">
        <v>196</v>
      </c>
      <c r="P150" s="20"/>
      <c r="Q150" s="54"/>
      <c r="R150" s="89"/>
      <c r="S150" s="85"/>
      <c r="U150" s="147" t="s">
        <v>695</v>
      </c>
      <c r="V150" s="144" t="s">
        <v>85</v>
      </c>
      <c r="W150" s="152" t="s">
        <v>780</v>
      </c>
      <c r="AY150" s="209" t="s">
        <v>438</v>
      </c>
      <c r="AZ150" s="58" t="s">
        <v>303</v>
      </c>
      <c r="BA150" s="131" t="str">
        <f t="shared" si="1"/>
        <v>ДП VIENTO.1A.купе</v>
      </c>
      <c r="CA150" s="135" t="s">
        <v>1142</v>
      </c>
      <c r="CB150" s="126" t="s">
        <v>929</v>
      </c>
      <c r="CC150" s="130" t="str">
        <f t="shared" ref="CC150:CC155" si="92">CONCATENATE(CA150,".",CB150)</f>
        <v>КД ECO-FIT.стандарт.1-стулков.(ні)</v>
      </c>
      <c r="DD150" s="157" t="s">
        <v>1482</v>
      </c>
      <c r="DE150" s="158">
        <v>5940</v>
      </c>
      <c r="DF150" s="490">
        <f t="shared" si="89"/>
        <v>5940</v>
      </c>
      <c r="DG150" s="491"/>
      <c r="DH150" s="492">
        <f t="shared" si="90"/>
        <v>5940</v>
      </c>
      <c r="DU150" s="158"/>
      <c r="DV150" s="56"/>
      <c r="DW150" s="95"/>
      <c r="DX150" s="111"/>
      <c r="DY150" s="97"/>
      <c r="DZ150" s="99"/>
      <c r="EG150" s="157"/>
      <c r="EH150" s="157" t="s">
        <v>1722</v>
      </c>
      <c r="EI150" s="158">
        <v>0</v>
      </c>
      <c r="EJ150" s="490">
        <f>ROUND(((EI150-(EI150/6))/$DD$3)*$DE$3,2)</f>
        <v>0</v>
      </c>
      <c r="EK150" s="491"/>
      <c r="EL150" s="492">
        <f>IF(EK150="",EJ150,
IF(AND($EI$10&gt;=VLOOKUP(EK150,$EH$5:$EL$9,2,0),$EI$10&lt;=VLOOKUP(EK150,$EH$5:$EL$9,3,0)),
(EJ150*(1-VLOOKUP(EK150,$EH$5:$EL$9,4,0))),
EJ150))</f>
        <v>0</v>
      </c>
    </row>
    <row r="151" spans="12:143" x14ac:dyDescent="0.2">
      <c r="L151" s="54"/>
      <c r="M151" s="44"/>
      <c r="N151" s="85"/>
      <c r="O151" s="403"/>
      <c r="Q151" s="54"/>
      <c r="R151" s="89"/>
      <c r="S151" s="85"/>
      <c r="U151" s="145" t="s">
        <v>696</v>
      </c>
      <c r="V151" s="93" t="s">
        <v>26</v>
      </c>
      <c r="W151" s="92" t="s">
        <v>973</v>
      </c>
      <c r="AY151" s="220" t="s">
        <v>439</v>
      </c>
      <c r="AZ151" s="129" t="s">
        <v>302</v>
      </c>
      <c r="BA151" s="130" t="str">
        <f t="shared" si="1"/>
        <v>ДП VIENTO.2A.фальц</v>
      </c>
      <c r="CA151" s="135" t="s">
        <v>1142</v>
      </c>
      <c r="CB151" s="129" t="s">
        <v>1156</v>
      </c>
      <c r="CC151" s="130" t="str">
        <f t="shared" si="92"/>
        <v>КД ECO-FIT.стандарт.1-стулков.Пл Stand +3завіс</v>
      </c>
      <c r="DD151" s="157" t="s">
        <v>552</v>
      </c>
      <c r="DE151" s="158">
        <v>5100</v>
      </c>
      <c r="DF151" s="490">
        <f t="shared" si="89"/>
        <v>5100</v>
      </c>
      <c r="DG151" s="491"/>
      <c r="DH151" s="492">
        <f t="shared" si="90"/>
        <v>5100</v>
      </c>
      <c r="DU151" s="158"/>
      <c r="DV151" s="56"/>
      <c r="DW151" s="95"/>
      <c r="DX151" s="111"/>
      <c r="DY151" s="97"/>
      <c r="DZ151" s="99"/>
      <c r="EG151" s="157"/>
      <c r="EH151" s="100" t="s">
        <v>1123</v>
      </c>
      <c r="EI151" s="156">
        <v>370</v>
      </c>
      <c r="EJ151" s="498">
        <f>ROUND(((EI151-(EI151/6))/$DD$3)*$DE$3,2)</f>
        <v>370</v>
      </c>
      <c r="EK151" s="493"/>
      <c r="EL151" s="494">
        <f>IF(EK151="",EJ151,
IF(AND($EI$10&gt;=VLOOKUP(EK151,$EH$5:$EL$9,2,0),$EI$10&lt;=VLOOKUP(EK151,$EH$5:$EL$9,3,0)),
(EJ151*(1-VLOOKUP(EK151,$EH$5:$EL$9,4,0))),
EJ151))</f>
        <v>370</v>
      </c>
    </row>
    <row r="152" spans="12:143" x14ac:dyDescent="0.2">
      <c r="L152" s="648"/>
      <c r="M152" s="649"/>
      <c r="N152" s="649"/>
      <c r="O152" s="650"/>
      <c r="Q152" s="45"/>
      <c r="R152" s="89"/>
      <c r="S152" s="85"/>
      <c r="U152" s="146" t="s">
        <v>697</v>
      </c>
      <c r="V152" s="143" t="s">
        <v>27</v>
      </c>
      <c r="W152" s="151" t="s">
        <v>974</v>
      </c>
      <c r="AY152" s="209" t="s">
        <v>439</v>
      </c>
      <c r="AZ152" s="58" t="s">
        <v>303</v>
      </c>
      <c r="BA152" s="131" t="str">
        <f t="shared" si="1"/>
        <v>ДП VIENTO.2A.купе</v>
      </c>
      <c r="CA152" s="134" t="s">
        <v>1143</v>
      </c>
      <c r="CB152" s="126" t="s">
        <v>929</v>
      </c>
      <c r="CC152" s="127" t="str">
        <f t="shared" si="92"/>
        <v>КД ECO-FIT.стандарт.2-стулков.(ні)</v>
      </c>
      <c r="DD152" s="157" t="s">
        <v>1483</v>
      </c>
      <c r="DE152" s="158">
        <v>5940</v>
      </c>
      <c r="DF152" s="490">
        <f t="shared" si="89"/>
        <v>5940</v>
      </c>
      <c r="DG152" s="491"/>
      <c r="DH152" s="492">
        <f t="shared" si="90"/>
        <v>5940</v>
      </c>
      <c r="DU152" s="158"/>
      <c r="DV152" s="56"/>
      <c r="DW152" s="95"/>
      <c r="DX152" s="111"/>
      <c r="DY152" s="97"/>
      <c r="DZ152" s="99"/>
      <c r="EG152" s="157"/>
      <c r="EH152" s="100" t="s">
        <v>1723</v>
      </c>
      <c r="EI152" s="156">
        <v>460</v>
      </c>
      <c r="EJ152" s="498">
        <f>ROUND(((EI152-(EI152/6))/$DD$3)*$DE$3,2)</f>
        <v>460</v>
      </c>
      <c r="EK152" s="493"/>
      <c r="EL152" s="494">
        <f>IF(EK152="",EJ152,
IF(AND($EI$10&gt;=VLOOKUP(EK152,$EH$5:$EL$9,2,0),$EI$10&lt;=VLOOKUP(EK152,$EH$5:$EL$9,3,0)),
(EJ152*(1-VLOOKUP(EK152,$EH$5:$EL$9,4,0))),
EJ152))</f>
        <v>460</v>
      </c>
    </row>
    <row r="153" spans="12:143" x14ac:dyDescent="0.2">
      <c r="L153" s="54"/>
      <c r="M153" s="44"/>
      <c r="N153" s="85"/>
      <c r="O153" s="403"/>
      <c r="Q153" s="528"/>
      <c r="R153" s="539"/>
      <c r="S153" s="521"/>
      <c r="U153" s="146" t="s">
        <v>698</v>
      </c>
      <c r="V153" s="143" t="s">
        <v>28</v>
      </c>
      <c r="W153" s="151" t="s">
        <v>975</v>
      </c>
      <c r="AY153" s="657"/>
      <c r="AZ153" s="658"/>
      <c r="BA153" s="659"/>
      <c r="CA153" s="136" t="s">
        <v>1143</v>
      </c>
      <c r="CB153" s="58" t="s">
        <v>1006</v>
      </c>
      <c r="CC153" s="131" t="str">
        <f t="shared" si="92"/>
        <v>КД ECO-FIT.стандарт.2-стулков.6 завіс (3+3)</v>
      </c>
      <c r="DD153" s="595"/>
      <c r="DE153" s="596"/>
      <c r="DF153" s="597"/>
      <c r="DG153" s="598"/>
      <c r="DH153" s="599"/>
      <c r="DU153" s="158"/>
      <c r="DV153" s="56"/>
      <c r="DW153" s="95"/>
      <c r="DX153" s="111"/>
      <c r="DY153" s="95"/>
      <c r="DZ153" s="95"/>
      <c r="EG153" s="157"/>
      <c r="EH153" s="505"/>
      <c r="EI153" s="506"/>
      <c r="EJ153" s="609"/>
      <c r="EK153" s="610"/>
      <c r="EL153" s="611"/>
    </row>
    <row r="154" spans="12:143" x14ac:dyDescent="0.2">
      <c r="L154" s="54" t="s">
        <v>873</v>
      </c>
      <c r="M154" s="44" t="s">
        <v>209</v>
      </c>
      <c r="N154" s="85" t="s">
        <v>752</v>
      </c>
      <c r="O154" s="403" t="s">
        <v>196</v>
      </c>
      <c r="U154" s="146" t="s">
        <v>699</v>
      </c>
      <c r="V154" s="143" t="s">
        <v>29</v>
      </c>
      <c r="W154" s="151" t="s">
        <v>976</v>
      </c>
      <c r="AY154" s="220" t="s">
        <v>1839</v>
      </c>
      <c r="AZ154" s="129" t="s">
        <v>302</v>
      </c>
      <c r="BA154" s="130" t="str">
        <f>CONCATENATE(AY154,".",AZ154)</f>
        <v>ДП Neapol.1.фальц</v>
      </c>
      <c r="CA154" s="136" t="s">
        <v>1144</v>
      </c>
      <c r="CB154" s="58" t="s">
        <v>929</v>
      </c>
      <c r="CC154" s="131" t="str">
        <f t="shared" si="92"/>
        <v>КД ECO-FIT.туннель.1-стулков.(ні)</v>
      </c>
      <c r="DD154" s="157" t="s">
        <v>1846</v>
      </c>
      <c r="DE154" s="158">
        <v>5310</v>
      </c>
      <c r="DF154" s="490">
        <f>ROUND(((DE154-(DE154/6))/$DD$3)*$DE$3,2)</f>
        <v>5310</v>
      </c>
      <c r="DG154" s="491"/>
      <c r="DH154" s="492">
        <f>IF(DG154="",DF154,
IF(AND($DE$10&gt;=VLOOKUP(DG154,$DD$5:$DH$9,2,0),$DE$10&lt;=VLOOKUP(DG154,$DD$5:$DH$9,3,0)),
(DF154*(1-VLOOKUP(DG154,$DD$5:$DH$9,4,0))),
DF154))</f>
        <v>5310</v>
      </c>
      <c r="DU154" s="158"/>
      <c r="DV154" s="592"/>
      <c r="DW154" s="593"/>
      <c r="DX154" s="608"/>
      <c r="DY154" s="593"/>
      <c r="DZ154" s="593"/>
      <c r="EG154" s="157"/>
      <c r="EH154" s="157" t="s">
        <v>1126</v>
      </c>
      <c r="EI154" s="158">
        <v>0</v>
      </c>
      <c r="EJ154" s="490">
        <f>ROUND(((EI154-(EI154/6))/$DD$3)*$DE$3,2)</f>
        <v>0</v>
      </c>
      <c r="EK154" s="491"/>
      <c r="EL154" s="492">
        <f>IF(EK154="",EJ154,
IF(AND($EI$10&gt;=VLOOKUP(EK154,$EH$5:$EL$9,2,0),$EI$10&lt;=VLOOKUP(EK154,$EH$5:$EL$9,3,0)),
(EJ154*(1-VLOOKUP(EK154,$EH$5:$EL$9,4,0))),
EJ154))</f>
        <v>0</v>
      </c>
    </row>
    <row r="155" spans="12:143" x14ac:dyDescent="0.2">
      <c r="L155" s="54" t="s">
        <v>1709</v>
      </c>
      <c r="M155" s="44" t="s">
        <v>1710</v>
      </c>
      <c r="N155" s="85" t="s">
        <v>1711</v>
      </c>
      <c r="O155" s="403" t="s">
        <v>196</v>
      </c>
      <c r="U155" s="146" t="s">
        <v>700</v>
      </c>
      <c r="V155" s="143" t="s">
        <v>30</v>
      </c>
      <c r="W155" s="151" t="s">
        <v>977</v>
      </c>
      <c r="AY155" s="220" t="s">
        <v>1839</v>
      </c>
      <c r="AZ155" s="58" t="s">
        <v>303</v>
      </c>
      <c r="BA155" s="131" t="str">
        <f>CONCATENATE(AY155,".",AZ155)</f>
        <v>ДП Neapol.1.купе</v>
      </c>
      <c r="CA155" s="134" t="s">
        <v>1145</v>
      </c>
      <c r="CB155" s="126" t="s">
        <v>929</v>
      </c>
      <c r="CC155" s="127" t="str">
        <f t="shared" si="92"/>
        <v>КД ECO-FIT.туннель.2-стулков.(ні)</v>
      </c>
      <c r="DD155" s="157" t="s">
        <v>1847</v>
      </c>
      <c r="DE155" s="158">
        <v>6160</v>
      </c>
      <c r="DF155" s="490">
        <f>ROUND(((DE155-(DE155/6))/$DD$3)*$DE$3,2)</f>
        <v>6160</v>
      </c>
      <c r="DG155" s="491"/>
      <c r="DH155" s="492">
        <f>IF(DG155="",DF155,
IF(AND($DE$10&gt;=VLOOKUP(DG155,$DD$5:$DH$9,2,0),$DE$10&lt;=VLOOKUP(DG155,$DD$5:$DH$9,3,0)),
(DF155*(1-VLOOKUP(DG155,$DD$5:$DH$9,4,0))),
DF155))</f>
        <v>6160</v>
      </c>
      <c r="DU155" s="158"/>
      <c r="EG155" s="157"/>
      <c r="EH155" s="157" t="s">
        <v>1724</v>
      </c>
      <c r="EI155" s="158">
        <v>0</v>
      </c>
      <c r="EJ155" s="490">
        <f>ROUND(((EI155-(EI155/6))/$DD$3)*$DE$3,2)</f>
        <v>0</v>
      </c>
      <c r="EK155" s="491"/>
      <c r="EL155" s="492">
        <f>IF(EK155="",EJ155,
IF(AND($EI$10&gt;=VLOOKUP(EK155,$EH$5:$EL$9,2,0),$EI$10&lt;=VLOOKUP(EK155,$EH$5:$EL$9,3,0)),
(EJ155*(1-VLOOKUP(EK155,$EH$5:$EL$9,4,0))),
EJ155))</f>
        <v>0</v>
      </c>
    </row>
    <row r="156" spans="12:143" x14ac:dyDescent="0.2">
      <c r="L156" s="54" t="s">
        <v>877</v>
      </c>
      <c r="M156" s="44" t="s">
        <v>210</v>
      </c>
      <c r="N156" s="85" t="s">
        <v>753</v>
      </c>
      <c r="O156" s="403" t="s">
        <v>196</v>
      </c>
      <c r="P156" s="650"/>
      <c r="U156" s="146" t="s">
        <v>701</v>
      </c>
      <c r="V156" s="143" t="s">
        <v>31</v>
      </c>
      <c r="W156" s="151" t="s">
        <v>978</v>
      </c>
      <c r="AY156" s="220" t="s">
        <v>1842</v>
      </c>
      <c r="AZ156" s="129" t="s">
        <v>302</v>
      </c>
      <c r="BA156" s="130" t="str">
        <f>CONCATENATE(AY156,".",AZ156)</f>
        <v>ДП Neapol.2.фальц</v>
      </c>
      <c r="CA156" s="412"/>
      <c r="CB156" s="207"/>
      <c r="CC156" s="208"/>
      <c r="DD156" s="157" t="s">
        <v>1848</v>
      </c>
      <c r="DE156" s="158">
        <v>5310</v>
      </c>
      <c r="DF156" s="490">
        <f>ROUND(((DE156-(DE156/6))/$DD$3)*$DE$3,2)</f>
        <v>5310</v>
      </c>
      <c r="DG156" s="491"/>
      <c r="DH156" s="492">
        <f>IF(DG156="",DF156,
IF(AND($DE$10&gt;=VLOOKUP(DG156,$DD$5:$DH$9,2,0),$DE$10&lt;=VLOOKUP(DG156,$DD$5:$DH$9,3,0)),
(DF156*(1-VLOOKUP(DG156,$DD$5:$DH$9,4,0))),
DF156))</f>
        <v>5310</v>
      </c>
      <c r="DU156" s="158"/>
      <c r="EG156" s="157"/>
      <c r="EH156" s="100" t="s">
        <v>1128</v>
      </c>
      <c r="EI156" s="156">
        <v>620</v>
      </c>
      <c r="EJ156" s="498">
        <f>ROUND(((EI156-(EI156/6))/$DD$3)*$DE$3,2)</f>
        <v>620</v>
      </c>
      <c r="EK156" s="493"/>
      <c r="EL156" s="494">
        <f>IF(EK156="",EJ156,
IF(AND($EI$10&gt;=VLOOKUP(EK156,$EH$5:$EL$9,2,0),$EI$10&lt;=VLOOKUP(EK156,$EH$5:$EL$9,3,0)),
(EJ156*(1-VLOOKUP(EK156,$EH$5:$EL$9,4,0))),
EJ156))</f>
        <v>620</v>
      </c>
    </row>
    <row r="157" spans="12:143" x14ac:dyDescent="0.2">
      <c r="L157" s="54" t="s">
        <v>878</v>
      </c>
      <c r="M157" s="44" t="s">
        <v>211</v>
      </c>
      <c r="N157" s="85" t="s">
        <v>754</v>
      </c>
      <c r="O157" s="403" t="s">
        <v>196</v>
      </c>
      <c r="U157" s="146" t="s">
        <v>702</v>
      </c>
      <c r="V157" s="143" t="s">
        <v>32</v>
      </c>
      <c r="W157" s="151" t="s">
        <v>979</v>
      </c>
      <c r="AY157" s="220" t="s">
        <v>1842</v>
      </c>
      <c r="AZ157" s="58" t="s">
        <v>303</v>
      </c>
      <c r="BA157" s="131" t="str">
        <f>CONCATENATE(AY157,".",AZ157)</f>
        <v>ДП Neapol.2.купе</v>
      </c>
      <c r="CA157" s="135" t="s">
        <v>1654</v>
      </c>
      <c r="CB157" s="126" t="s">
        <v>929</v>
      </c>
      <c r="CC157" s="130" t="str">
        <f t="shared" ref="CC157:CC162" si="93">CONCATENATE(CA157,".",CB157)</f>
        <v>КД ECO-FIT Plus.стандарт.1-стулков.(ні)</v>
      </c>
      <c r="DD157" s="157" t="s">
        <v>1849</v>
      </c>
      <c r="DE157" s="158">
        <v>6160</v>
      </c>
      <c r="DF157" s="490">
        <f>ROUND(((DE157-(DE157/6))/$DD$3)*$DE$3,2)</f>
        <v>6160</v>
      </c>
      <c r="DG157" s="491"/>
      <c r="DH157" s="492">
        <f>IF(DG157="",DF157,
IF(AND($DE$10&gt;=VLOOKUP(DG157,$DD$5:$DH$9,2,0),$DE$10&lt;=VLOOKUP(DG157,$DD$5:$DH$9,3,0)),
(DF157*(1-VLOOKUP(DG157,$DD$5:$DH$9,4,0))),
DF157))</f>
        <v>6160</v>
      </c>
      <c r="DU157" s="158"/>
      <c r="EG157" s="157"/>
      <c r="EH157" s="100" t="s">
        <v>1725</v>
      </c>
      <c r="EI157" s="156">
        <v>760</v>
      </c>
      <c r="EJ157" s="498">
        <f>ROUND(((EI157-(EI157/6))/$DD$3)*$DE$3,2)</f>
        <v>760</v>
      </c>
      <c r="EK157" s="493"/>
      <c r="EL157" s="494">
        <f>IF(EK157="",EJ157,
IF(AND($EI$10&gt;=VLOOKUP(EK157,$EH$5:$EL$9,2,0),$EI$10&lt;=VLOOKUP(EK157,$EH$5:$EL$9,3,0)),
(EJ157*(1-VLOOKUP(EK157,$EH$5:$EL$9,4,0))),
EJ157))</f>
        <v>760</v>
      </c>
    </row>
    <row r="158" spans="12:143" x14ac:dyDescent="0.2">
      <c r="L158" s="54" t="s">
        <v>879</v>
      </c>
      <c r="M158" s="44" t="s">
        <v>297</v>
      </c>
      <c r="N158" s="85" t="s">
        <v>755</v>
      </c>
      <c r="O158" s="403" t="s">
        <v>196</v>
      </c>
      <c r="U158" s="146" t="s">
        <v>703</v>
      </c>
      <c r="V158" s="143" t="s">
        <v>33</v>
      </c>
      <c r="W158" s="151" t="s">
        <v>980</v>
      </c>
      <c r="AY158" s="220"/>
      <c r="AZ158" s="129"/>
      <c r="BA158" s="130"/>
      <c r="CA158" s="135" t="s">
        <v>1654</v>
      </c>
      <c r="CB158" s="129" t="s">
        <v>1156</v>
      </c>
      <c r="CC158" s="130" t="str">
        <f t="shared" si="93"/>
        <v>КД ECO-FIT Plus.стандарт.1-стулков.Пл Stand +3завіс</v>
      </c>
      <c r="DD158" s="689"/>
      <c r="DE158" s="690"/>
      <c r="DF158" s="691"/>
      <c r="DG158" s="692"/>
      <c r="DH158" s="693"/>
      <c r="DU158" s="158"/>
      <c r="EG158" s="157"/>
      <c r="EH158" s="505"/>
      <c r="EI158" s="506"/>
      <c r="EJ158" s="609"/>
      <c r="EK158" s="610"/>
      <c r="EL158" s="611"/>
    </row>
    <row r="159" spans="12:143" x14ac:dyDescent="0.2">
      <c r="L159" s="54"/>
      <c r="M159" s="44"/>
      <c r="N159" s="85"/>
      <c r="O159" s="403"/>
      <c r="P159" s="20"/>
      <c r="U159" s="147" t="s">
        <v>704</v>
      </c>
      <c r="V159" s="144" t="s">
        <v>34</v>
      </c>
      <c r="W159" s="152" t="s">
        <v>981</v>
      </c>
      <c r="AY159" s="220"/>
      <c r="AZ159" s="129"/>
      <c r="BA159" s="130"/>
      <c r="CA159" s="134" t="s">
        <v>1655</v>
      </c>
      <c r="CB159" s="126" t="s">
        <v>929</v>
      </c>
      <c r="CC159" s="127" t="str">
        <f t="shared" si="93"/>
        <v>КД ECO-FIT Plus.стандарт.2-стулков.(ні)</v>
      </c>
      <c r="DD159" s="157" t="s">
        <v>553</v>
      </c>
      <c r="DE159" s="158">
        <v>2100</v>
      </c>
      <c r="DF159" s="490">
        <f>ROUND(((DE159-(DE159/6))/$DD$3)*$DE$3,2)</f>
        <v>2100</v>
      </c>
      <c r="DG159" s="491"/>
      <c r="DH159" s="492">
        <f>IF(DG159="",DF159,
IF(AND($DE$10&gt;=VLOOKUP(DG159,$DD$5:$DH$9,2,0),$DE$10&lt;=VLOOKUP(DG159,$DD$5:$DH$9,3,0)),
(DF159*(1-VLOOKUP(DG159,$DD$5:$DH$9,4,0))),
DF159))</f>
        <v>2100</v>
      </c>
      <c r="DU159" s="158"/>
      <c r="EG159" s="157"/>
      <c r="EH159" s="157" t="s">
        <v>1131</v>
      </c>
      <c r="EI159" s="158">
        <v>0</v>
      </c>
      <c r="EJ159" s="490">
        <f>ROUND(((EI159-(EI159/6))/$DD$3)*$DE$3,2)</f>
        <v>0</v>
      </c>
      <c r="EK159" s="491"/>
      <c r="EL159" s="492">
        <f>IF(EK159="",EJ159,
IF(AND($EI$10&gt;=VLOOKUP(EK159,$EH$5:$EL$9,2,0),$EI$10&lt;=VLOOKUP(EK159,$EH$5:$EL$9,3,0)),
(EJ159*(1-VLOOKUP(EK159,$EH$5:$EL$9,4,0))),
EJ159))</f>
        <v>0</v>
      </c>
    </row>
    <row r="160" spans="12:143" x14ac:dyDescent="0.2">
      <c r="L160" s="54" t="s">
        <v>370</v>
      </c>
      <c r="M160" s="44" t="s">
        <v>176</v>
      </c>
      <c r="N160" s="85" t="s">
        <v>756</v>
      </c>
      <c r="O160" s="403" t="s">
        <v>196</v>
      </c>
      <c r="U160" s="415"/>
      <c r="V160" s="416"/>
      <c r="W160" s="151"/>
      <c r="AY160" s="220"/>
      <c r="AZ160" s="129"/>
      <c r="BA160" s="130"/>
      <c r="CA160" s="136" t="s">
        <v>1655</v>
      </c>
      <c r="CB160" s="58" t="s">
        <v>1006</v>
      </c>
      <c r="CC160" s="131" t="str">
        <f t="shared" si="93"/>
        <v>КД ECO-FIT Plus.стандарт.2-стулков.6 завіс (3+3)</v>
      </c>
      <c r="DD160" s="157" t="s">
        <v>1484</v>
      </c>
      <c r="DE160" s="158">
        <v>2470</v>
      </c>
      <c r="DF160" s="490">
        <f>ROUND(((DE160-(DE160/6))/$DD$3)*$DE$3,2)</f>
        <v>2470</v>
      </c>
      <c r="DG160" s="491"/>
      <c r="DH160" s="492">
        <f>IF(DG160="",DF160,
IF(AND($DE$10&gt;=VLOOKUP(DG160,$DD$5:$DH$9,2,0),$DE$10&lt;=VLOOKUP(DG160,$DD$5:$DH$9,3,0)),
(DF160*(1-VLOOKUP(DG160,$DD$5:$DH$9,4,0))),
DF160))</f>
        <v>2470</v>
      </c>
      <c r="DU160" s="158"/>
      <c r="EG160" s="157"/>
      <c r="EH160" s="157" t="s">
        <v>1726</v>
      </c>
      <c r="EI160" s="158">
        <v>0</v>
      </c>
      <c r="EJ160" s="490">
        <f>ROUND(((EI160-(EI160/6))/$DD$3)*$DE$3,2)</f>
        <v>0</v>
      </c>
      <c r="EK160" s="491"/>
      <c r="EL160" s="492">
        <f>IF(EK160="",EJ160,
IF(AND($EI$10&gt;=VLOOKUP(EK160,$EH$5:$EL$9,2,0),$EI$10&lt;=VLOOKUP(EK160,$EH$5:$EL$9,3,0)),
(EJ160*(1-VLOOKUP(EK160,$EH$5:$EL$9,4,0))),
EJ160))</f>
        <v>0</v>
      </c>
    </row>
    <row r="161" spans="12:142" x14ac:dyDescent="0.2">
      <c r="L161" s="54" t="s">
        <v>371</v>
      </c>
      <c r="M161" s="44" t="s">
        <v>160</v>
      </c>
      <c r="N161" s="85" t="s">
        <v>757</v>
      </c>
      <c r="O161" s="403" t="s">
        <v>196</v>
      </c>
      <c r="U161" s="235" t="s">
        <v>705</v>
      </c>
      <c r="V161" s="93" t="s">
        <v>81</v>
      </c>
      <c r="W161" s="92" t="s">
        <v>776</v>
      </c>
      <c r="AY161" s="220"/>
      <c r="AZ161" s="129"/>
      <c r="BA161" s="130"/>
      <c r="CA161" s="136" t="s">
        <v>1656</v>
      </c>
      <c r="CB161" s="58" t="s">
        <v>929</v>
      </c>
      <c r="CC161" s="131" t="str">
        <f t="shared" si="93"/>
        <v>КД ECO-FIT Plus.туннель.1-стулков.(ні)</v>
      </c>
      <c r="DD161" s="595"/>
      <c r="DE161" s="596"/>
      <c r="DF161" s="597"/>
      <c r="DG161" s="598"/>
      <c r="DH161" s="599"/>
      <c r="DU161" s="158"/>
      <c r="EG161" s="157"/>
      <c r="EH161" s="100" t="s">
        <v>1133</v>
      </c>
      <c r="EI161" s="156">
        <v>760</v>
      </c>
      <c r="EJ161" s="498">
        <f>ROUND(((EI161-(EI161/6))/$DD$3)*$DE$3,2)</f>
        <v>760</v>
      </c>
      <c r="EK161" s="493"/>
      <c r="EL161" s="494">
        <f>IF(EK161="",EJ161,
IF(AND($EI$10&gt;=VLOOKUP(EK161,$EH$5:$EL$9,2,0),$EI$10&lt;=VLOOKUP(EK161,$EH$5:$EL$9,3,0)),
(EJ161*(1-VLOOKUP(EK161,$EH$5:$EL$9,4,0))),
EJ161))</f>
        <v>760</v>
      </c>
    </row>
    <row r="162" spans="12:142" x14ac:dyDescent="0.2">
      <c r="L162" s="54" t="s">
        <v>372</v>
      </c>
      <c r="M162" s="44" t="s">
        <v>291</v>
      </c>
      <c r="N162" s="85" t="s">
        <v>758</v>
      </c>
      <c r="O162" s="403" t="s">
        <v>196</v>
      </c>
      <c r="U162" s="234" t="s">
        <v>706</v>
      </c>
      <c r="V162" s="143" t="s">
        <v>82</v>
      </c>
      <c r="W162" s="151" t="s">
        <v>777</v>
      </c>
      <c r="AY162" s="220"/>
      <c r="AZ162" s="129"/>
      <c r="BA162" s="130"/>
      <c r="CA162" s="134" t="s">
        <v>1657</v>
      </c>
      <c r="CB162" s="126" t="s">
        <v>929</v>
      </c>
      <c r="CC162" s="127" t="str">
        <f t="shared" si="93"/>
        <v>КД ECO-FIT Plus.туннель.2-стулков.(ні)</v>
      </c>
      <c r="DD162" s="157" t="s">
        <v>554</v>
      </c>
      <c r="DE162" s="158">
        <v>3430</v>
      </c>
      <c r="DF162" s="490">
        <f t="shared" ref="DF162:DF181" si="94">ROUND(((DE162-(DE162/6))/$DD$3)*$DE$3,2)</f>
        <v>3430</v>
      </c>
      <c r="DG162" s="491"/>
      <c r="DH162" s="492">
        <f t="shared" ref="DH162:DH181" si="95">IF(DG162="",DF162,
IF(AND($DE$10&gt;=VLOOKUP(DG162,$DD$5:$DH$9,2,0),$DE$10&lt;=VLOOKUP(DG162,$DD$5:$DH$9,3,0)),
(DF162*(1-VLOOKUP(DG162,$DD$5:$DH$9,4,0))),
DF162))</f>
        <v>3430</v>
      </c>
      <c r="DU162" s="158"/>
      <c r="EG162" s="157"/>
      <c r="EH162" s="100" t="s">
        <v>1727</v>
      </c>
      <c r="EI162" s="156">
        <v>930</v>
      </c>
      <c r="EJ162" s="498">
        <f>ROUND(((EI162-(EI162/6))/$DD$3)*$DE$3,2)</f>
        <v>930</v>
      </c>
      <c r="EK162" s="493"/>
      <c r="EL162" s="494">
        <f>IF(EK162="",EJ162,
IF(AND($EI$10&gt;=VLOOKUP(EK162,$EH$5:$EL$9,2,0),$EI$10&lt;=VLOOKUP(EK162,$EH$5:$EL$9,3,0)),
(EJ162*(1-VLOOKUP(EK162,$EH$5:$EL$9,4,0))),
EJ162))</f>
        <v>930</v>
      </c>
    </row>
    <row r="163" spans="12:142" x14ac:dyDescent="0.2">
      <c r="L163" s="54"/>
      <c r="M163" s="44"/>
      <c r="N163" s="85"/>
      <c r="O163" s="403"/>
      <c r="U163" s="234" t="s">
        <v>707</v>
      </c>
      <c r="V163" s="143" t="s">
        <v>83</v>
      </c>
      <c r="W163" s="151" t="s">
        <v>778</v>
      </c>
      <c r="AY163" s="220"/>
      <c r="AZ163" s="129"/>
      <c r="BA163" s="130"/>
      <c r="CA163" s="406"/>
      <c r="CB163" s="407"/>
      <c r="CC163" s="408"/>
      <c r="DD163" s="157" t="s">
        <v>1485</v>
      </c>
      <c r="DE163" s="158">
        <v>4100</v>
      </c>
      <c r="DF163" s="490">
        <f t="shared" si="94"/>
        <v>4100</v>
      </c>
      <c r="DG163" s="491"/>
      <c r="DH163" s="492">
        <f t="shared" si="95"/>
        <v>4100</v>
      </c>
      <c r="DU163" s="158"/>
      <c r="EG163" s="157"/>
      <c r="EH163" s="505"/>
      <c r="EI163" s="506"/>
      <c r="EJ163" s="609"/>
      <c r="EK163" s="610"/>
      <c r="EL163" s="611"/>
    </row>
    <row r="164" spans="12:142" x14ac:dyDescent="0.2">
      <c r="L164" s="514" t="s">
        <v>1418</v>
      </c>
      <c r="M164" s="44" t="s">
        <v>889</v>
      </c>
      <c r="N164" s="85" t="s">
        <v>1729</v>
      </c>
      <c r="O164" s="403" t="s">
        <v>195</v>
      </c>
      <c r="U164" s="234" t="s">
        <v>708</v>
      </c>
      <c r="V164" s="143" t="s">
        <v>84</v>
      </c>
      <c r="W164" s="151" t="s">
        <v>779</v>
      </c>
      <c r="AY164" s="220"/>
      <c r="AZ164" s="129"/>
      <c r="BA164" s="130"/>
      <c r="CA164" s="136" t="s">
        <v>1146</v>
      </c>
      <c r="CB164" s="58" t="s">
        <v>79</v>
      </c>
      <c r="CC164" s="131" t="str">
        <f>CONCATENATE(CA164,".",CB164)</f>
        <v>РС ECO-SLIDE.стандарт,.1-стулков..Без планки замка</v>
      </c>
      <c r="DD164" s="157" t="s">
        <v>555</v>
      </c>
      <c r="DE164" s="158">
        <v>3630</v>
      </c>
      <c r="DF164" s="490">
        <f t="shared" si="94"/>
        <v>3630</v>
      </c>
      <c r="DG164" s="491"/>
      <c r="DH164" s="492">
        <f t="shared" si="95"/>
        <v>3630</v>
      </c>
      <c r="DU164" s="158"/>
      <c r="EG164" s="157"/>
      <c r="EH164" s="505"/>
      <c r="EI164" s="506"/>
      <c r="EJ164" s="609"/>
      <c r="EK164" s="610"/>
      <c r="EL164" s="611"/>
    </row>
    <row r="165" spans="12:142" ht="10.8" thickBot="1" x14ac:dyDescent="0.25">
      <c r="L165" s="515" t="s">
        <v>1414</v>
      </c>
      <c r="M165" s="44" t="s">
        <v>890</v>
      </c>
      <c r="N165" s="85" t="s">
        <v>1730</v>
      </c>
      <c r="O165" s="403" t="s">
        <v>195</v>
      </c>
      <c r="U165" s="233" t="s">
        <v>709</v>
      </c>
      <c r="V165" s="144" t="s">
        <v>85</v>
      </c>
      <c r="W165" s="152" t="s">
        <v>780</v>
      </c>
      <c r="AY165" s="220"/>
      <c r="AZ165" s="129"/>
      <c r="BA165" s="130"/>
      <c r="CA165" s="41" t="s">
        <v>1146</v>
      </c>
      <c r="CB165" s="52" t="s">
        <v>80</v>
      </c>
      <c r="CC165" s="66" t="str">
        <f>CONCATENATE(CA165,".",CB165)</f>
        <v>РС ECO-SLIDE.стандарт,.1-стулков..С планкой замка</v>
      </c>
      <c r="DD165" s="157" t="s">
        <v>1486</v>
      </c>
      <c r="DE165" s="158">
        <v>4370</v>
      </c>
      <c r="DF165" s="490">
        <f t="shared" si="94"/>
        <v>4370</v>
      </c>
      <c r="DG165" s="491"/>
      <c r="DH165" s="492">
        <f t="shared" si="95"/>
        <v>4370</v>
      </c>
      <c r="DU165" s="158"/>
      <c r="EG165" s="157"/>
      <c r="EH165" s="56" t="s">
        <v>1419</v>
      </c>
      <c r="EI165" s="97">
        <v>0</v>
      </c>
      <c r="EJ165" s="503">
        <f>ROUND(((EI165-(EI165/6))/$DD$3)*$DE$3,2)</f>
        <v>0</v>
      </c>
      <c r="EK165" s="487"/>
      <c r="EL165" s="486">
        <f>IF(EK165="",EJ165,
IF(AND($EI$10&gt;=VLOOKUP(EK165,$EH$5:$EL$9,2,0),$EI$10&lt;=VLOOKUP(EK165,$EH$5:$EL$9,3,0)),
(EJ165*(1-VLOOKUP(EK165,$EH$5:$EL$9,4,0))),
EJ165))</f>
        <v>0</v>
      </c>
    </row>
    <row r="166" spans="12:142" x14ac:dyDescent="0.2">
      <c r="L166" s="54"/>
      <c r="M166" s="44"/>
      <c r="N166" s="85"/>
      <c r="O166" s="403"/>
      <c r="U166" s="235" t="s">
        <v>710</v>
      </c>
      <c r="V166" s="93" t="s">
        <v>26</v>
      </c>
      <c r="W166" s="92" t="s">
        <v>973</v>
      </c>
      <c r="AY166" s="220"/>
      <c r="AZ166" s="129"/>
      <c r="BA166" s="130"/>
      <c r="CA166" s="417"/>
      <c r="CB166" s="207"/>
      <c r="CC166" s="208"/>
      <c r="DD166" s="157" t="s">
        <v>556</v>
      </c>
      <c r="DE166" s="158">
        <v>3770</v>
      </c>
      <c r="DF166" s="490">
        <f t="shared" si="94"/>
        <v>3770</v>
      </c>
      <c r="DG166" s="491"/>
      <c r="DH166" s="492">
        <f t="shared" si="95"/>
        <v>3770</v>
      </c>
      <c r="DU166" s="158"/>
      <c r="EG166" s="157"/>
      <c r="EH166" s="56" t="s">
        <v>1728</v>
      </c>
      <c r="EI166" s="97">
        <v>0</v>
      </c>
      <c r="EJ166" s="503">
        <f>ROUND(((EI166-(EI166/6))/$DD$3)*$DE$3,2)</f>
        <v>0</v>
      </c>
      <c r="EK166" s="487"/>
      <c r="EL166" s="486">
        <f>IF(EK166="",EJ166,
IF(AND($EI$10&gt;=VLOOKUP(EK166,$EH$5:$EL$9,2,0),$EI$10&lt;=VLOOKUP(EK166,$EH$5:$EL$9,3,0)),
(EJ166*(1-VLOOKUP(EK166,$EH$5:$EL$9,4,0))),
EJ166))</f>
        <v>0</v>
      </c>
    </row>
    <row r="167" spans="12:142" x14ac:dyDescent="0.2">
      <c r="L167" s="648"/>
      <c r="M167" s="649"/>
      <c r="N167" s="649"/>
      <c r="O167" s="650"/>
      <c r="U167" s="234" t="s">
        <v>711</v>
      </c>
      <c r="V167" s="143" t="s">
        <v>27</v>
      </c>
      <c r="W167" s="151" t="s">
        <v>974</v>
      </c>
      <c r="AY167" s="220"/>
      <c r="AZ167" s="129"/>
      <c r="BA167" s="130"/>
      <c r="CA167" s="41"/>
      <c r="CB167" s="52"/>
      <c r="CC167" s="66"/>
      <c r="DD167" s="157" t="s">
        <v>1487</v>
      </c>
      <c r="DE167" s="158">
        <v>4500</v>
      </c>
      <c r="DF167" s="490">
        <f t="shared" si="94"/>
        <v>4500</v>
      </c>
      <c r="DG167" s="491"/>
      <c r="DH167" s="492">
        <f t="shared" si="95"/>
        <v>4500</v>
      </c>
      <c r="DU167" s="158"/>
      <c r="EG167" s="157"/>
      <c r="EH167" s="241"/>
      <c r="EI167" s="242"/>
      <c r="EJ167" s="489"/>
      <c r="EK167" s="499"/>
      <c r="EL167" s="244"/>
    </row>
    <row r="168" spans="12:142" x14ac:dyDescent="0.2">
      <c r="L168" s="54"/>
      <c r="M168" s="44"/>
      <c r="N168" s="85"/>
      <c r="O168" s="403"/>
      <c r="U168" s="234" t="s">
        <v>712</v>
      </c>
      <c r="V168" s="143" t="s">
        <v>28</v>
      </c>
      <c r="W168" s="151" t="s">
        <v>975</v>
      </c>
      <c r="AY168" s="220"/>
      <c r="AZ168" s="129"/>
      <c r="BA168" s="130"/>
      <c r="CA168" s="36"/>
      <c r="CB168" s="37"/>
      <c r="CC168" s="66"/>
      <c r="DD168" s="157" t="s">
        <v>557</v>
      </c>
      <c r="DE168" s="158">
        <v>3880</v>
      </c>
      <c r="DF168" s="490">
        <f t="shared" si="94"/>
        <v>3880</v>
      </c>
      <c r="DG168" s="491"/>
      <c r="DH168" s="492">
        <f t="shared" si="95"/>
        <v>3880</v>
      </c>
      <c r="DU168" s="158"/>
      <c r="EG168" s="157"/>
      <c r="EH168" s="56" t="s">
        <v>1415</v>
      </c>
      <c r="EI168" s="97">
        <v>0</v>
      </c>
      <c r="EJ168" s="503">
        <f>ROUND(((EI168-(EI168/6))/$DD$3)*$DE$3,2)</f>
        <v>0</v>
      </c>
      <c r="EK168" s="487"/>
      <c r="EL168" s="486">
        <f>IF(EK168="",EJ168,
IF(AND($EI$10&gt;=VLOOKUP(EK168,$EH$5:$EL$9,2,0),$EI$10&lt;=VLOOKUP(EK168,$EH$5:$EL$9,3,0)),
(EJ168*(1-VLOOKUP(EK168,$EH$5:$EL$9,4,0))),
EJ168))</f>
        <v>0</v>
      </c>
    </row>
    <row r="169" spans="12:142" x14ac:dyDescent="0.2">
      <c r="L169" s="54" t="s">
        <v>891</v>
      </c>
      <c r="M169" s="44" t="s">
        <v>47</v>
      </c>
      <c r="N169" s="85" t="s">
        <v>759</v>
      </c>
      <c r="O169" s="403" t="s">
        <v>196</v>
      </c>
      <c r="U169" s="234" t="s">
        <v>713</v>
      </c>
      <c r="V169" s="143" t="s">
        <v>29</v>
      </c>
      <c r="W169" s="151" t="s">
        <v>976</v>
      </c>
      <c r="AY169" s="220"/>
      <c r="AZ169" s="129"/>
      <c r="BA169" s="130"/>
      <c r="CA169" s="36"/>
      <c r="CB169" s="37"/>
      <c r="CC169" s="66"/>
      <c r="CX169" s="113"/>
      <c r="DD169" s="157" t="s">
        <v>1488</v>
      </c>
      <c r="DE169" s="158">
        <v>4600</v>
      </c>
      <c r="DF169" s="490">
        <f t="shared" si="94"/>
        <v>4600</v>
      </c>
      <c r="DG169" s="491"/>
      <c r="DH169" s="492">
        <f t="shared" si="95"/>
        <v>4600</v>
      </c>
      <c r="DU169" s="158"/>
      <c r="EG169" s="157"/>
      <c r="EH169" s="56" t="s">
        <v>1731</v>
      </c>
      <c r="EI169" s="97">
        <v>0</v>
      </c>
      <c r="EJ169" s="503">
        <f>ROUND(((EI169-(EI169/6))/$DD$3)*$DE$3,2)</f>
        <v>0</v>
      </c>
      <c r="EK169" s="487"/>
      <c r="EL169" s="486">
        <f>IF(EK169="",EJ169,
IF(AND($EI$10&gt;=VLOOKUP(EK169,$EH$5:$EL$9,2,0),$EI$10&lt;=VLOOKUP(EK169,$EH$5:$EL$9,3,0)),
(EJ169*(1-VLOOKUP(EK169,$EH$5:$EL$9,4,0))),
EJ169))</f>
        <v>0</v>
      </c>
    </row>
    <row r="170" spans="12:142" x14ac:dyDescent="0.2">
      <c r="L170" s="136"/>
      <c r="M170" s="44"/>
      <c r="N170" s="85"/>
      <c r="O170" s="402"/>
      <c r="U170" s="234" t="s">
        <v>714</v>
      </c>
      <c r="V170" s="143" t="s">
        <v>30</v>
      </c>
      <c r="W170" s="151" t="s">
        <v>977</v>
      </c>
      <c r="AY170" s="220"/>
      <c r="AZ170" s="129"/>
      <c r="BA170" s="130"/>
      <c r="CA170" s="36"/>
      <c r="CB170" s="37"/>
      <c r="CC170" s="66"/>
      <c r="CX170" s="113"/>
      <c r="DD170" s="157" t="s">
        <v>558</v>
      </c>
      <c r="DE170" s="158">
        <v>4080</v>
      </c>
      <c r="DF170" s="490">
        <f t="shared" si="94"/>
        <v>4080</v>
      </c>
      <c r="DG170" s="491"/>
      <c r="DH170" s="492">
        <f t="shared" si="95"/>
        <v>4080</v>
      </c>
      <c r="DU170" s="158"/>
      <c r="EG170" s="157"/>
      <c r="EH170" s="241"/>
      <c r="EI170" s="242"/>
      <c r="EJ170" s="489"/>
      <c r="EK170" s="499"/>
      <c r="EL170" s="244"/>
    </row>
    <row r="171" spans="12:142" x14ac:dyDescent="0.2">
      <c r="L171" s="54" t="s">
        <v>12</v>
      </c>
      <c r="M171" s="44" t="s">
        <v>130</v>
      </c>
      <c r="N171" s="85" t="s">
        <v>747</v>
      </c>
      <c r="O171" s="403" t="s">
        <v>195</v>
      </c>
      <c r="U171" s="234" t="s">
        <v>715</v>
      </c>
      <c r="V171" s="143" t="s">
        <v>31</v>
      </c>
      <c r="W171" s="151" t="s">
        <v>978</v>
      </c>
      <c r="AY171" s="522"/>
      <c r="AZ171" s="523"/>
      <c r="BA171" s="524"/>
      <c r="CA171" s="525"/>
      <c r="CB171" s="526"/>
      <c r="CC171" s="527"/>
      <c r="CX171" s="113"/>
      <c r="DD171" s="157" t="s">
        <v>1489</v>
      </c>
      <c r="DE171" s="158">
        <v>4860</v>
      </c>
      <c r="DF171" s="490">
        <f t="shared" si="94"/>
        <v>4860</v>
      </c>
      <c r="DG171" s="491"/>
      <c r="DH171" s="492">
        <f t="shared" si="95"/>
        <v>4860</v>
      </c>
      <c r="DU171" s="158"/>
      <c r="EG171" s="157"/>
      <c r="EH171" s="154" t="s">
        <v>669</v>
      </c>
      <c r="EI171" s="155">
        <v>850</v>
      </c>
      <c r="EJ171" s="504">
        <f t="shared" ref="EJ171:EJ180" si="96">ROUND(((EI171-(EI171/6))/$DD$3)*$DE$3,2)</f>
        <v>850</v>
      </c>
      <c r="EK171" s="496"/>
      <c r="EL171" s="497">
        <f t="shared" ref="EL171:EL180" si="97">IF(EK171="",EJ171,
IF(AND($EI$10&gt;=VLOOKUP(EK171,$EH$5:$EL$9,2,0),$EI$10&lt;=VLOOKUP(EK171,$EH$5:$EL$9,3,0)),
(EJ171*(1-VLOOKUP(EK171,$EH$5:$EL$9,4,0))),
EJ171))</f>
        <v>850</v>
      </c>
    </row>
    <row r="172" spans="12:142" x14ac:dyDescent="0.2">
      <c r="L172" s="54" t="s">
        <v>894</v>
      </c>
      <c r="M172" s="44" t="s">
        <v>131</v>
      </c>
      <c r="N172" s="85" t="s">
        <v>763</v>
      </c>
      <c r="O172" s="403" t="s">
        <v>195</v>
      </c>
      <c r="U172" s="234" t="s">
        <v>716</v>
      </c>
      <c r="V172" s="143" t="s">
        <v>32</v>
      </c>
      <c r="W172" s="151" t="s">
        <v>979</v>
      </c>
      <c r="AY172" s="51"/>
      <c r="AZ172" s="52"/>
      <c r="BA172" s="66"/>
      <c r="CX172" s="113"/>
      <c r="DD172" s="157" t="s">
        <v>559</v>
      </c>
      <c r="DE172" s="158">
        <v>4290</v>
      </c>
      <c r="DF172" s="490">
        <f t="shared" si="94"/>
        <v>4290</v>
      </c>
      <c r="DG172" s="491"/>
      <c r="DH172" s="492">
        <f t="shared" si="95"/>
        <v>4290</v>
      </c>
      <c r="DU172" s="158"/>
      <c r="EG172" s="157"/>
      <c r="EH172" s="157" t="s">
        <v>1808</v>
      </c>
      <c r="EI172" s="155">
        <v>850</v>
      </c>
      <c r="EJ172" s="490">
        <f t="shared" si="96"/>
        <v>850</v>
      </c>
      <c r="EK172" s="491"/>
      <c r="EL172" s="492">
        <f t="shared" si="97"/>
        <v>850</v>
      </c>
    </row>
    <row r="173" spans="12:142" x14ac:dyDescent="0.2">
      <c r="L173" s="54" t="s">
        <v>13</v>
      </c>
      <c r="M173" s="44" t="s">
        <v>132</v>
      </c>
      <c r="N173" s="85" t="s">
        <v>748</v>
      </c>
      <c r="O173" s="403" t="s">
        <v>195</v>
      </c>
      <c r="U173" s="234" t="s">
        <v>717</v>
      </c>
      <c r="V173" s="143" t="s">
        <v>33</v>
      </c>
      <c r="W173" s="151" t="s">
        <v>980</v>
      </c>
      <c r="AY173" s="212"/>
      <c r="AZ173" s="207"/>
      <c r="BA173" s="208"/>
      <c r="CX173" s="113"/>
      <c r="DD173" s="157" t="s">
        <v>1490</v>
      </c>
      <c r="DE173" s="158">
        <v>5090</v>
      </c>
      <c r="DF173" s="490">
        <f t="shared" si="94"/>
        <v>5090</v>
      </c>
      <c r="DG173" s="491"/>
      <c r="DH173" s="492">
        <f t="shared" si="95"/>
        <v>5090</v>
      </c>
      <c r="DU173" s="158"/>
      <c r="EG173" s="157"/>
      <c r="EH173" s="157" t="s">
        <v>1837</v>
      </c>
      <c r="EI173" s="155">
        <v>850</v>
      </c>
      <c r="EJ173" s="490">
        <f t="shared" si="96"/>
        <v>850</v>
      </c>
      <c r="EK173" s="491"/>
      <c r="EL173" s="492">
        <f t="shared" si="97"/>
        <v>850</v>
      </c>
    </row>
    <row r="174" spans="12:142" x14ac:dyDescent="0.2">
      <c r="L174" s="54" t="s">
        <v>895</v>
      </c>
      <c r="M174" s="44" t="s">
        <v>133</v>
      </c>
      <c r="N174" s="85" t="s">
        <v>764</v>
      </c>
      <c r="O174" s="403" t="s">
        <v>195</v>
      </c>
      <c r="U174" s="233" t="s">
        <v>718</v>
      </c>
      <c r="V174" s="144" t="s">
        <v>34</v>
      </c>
      <c r="W174" s="152" t="s">
        <v>981</v>
      </c>
      <c r="AY174" s="54" t="s">
        <v>440</v>
      </c>
      <c r="AZ174" s="52" t="s">
        <v>36</v>
      </c>
      <c r="BA174" s="66" t="str">
        <f>CONCATENATE(AY174,".",AZ174)</f>
        <v>КД Classic.1.стандарт</v>
      </c>
      <c r="CX174" s="113"/>
      <c r="DD174" s="157" t="s">
        <v>560</v>
      </c>
      <c r="DE174" s="158">
        <v>4510</v>
      </c>
      <c r="DF174" s="490">
        <f t="shared" si="94"/>
        <v>4510</v>
      </c>
      <c r="DG174" s="491"/>
      <c r="DH174" s="492">
        <f t="shared" si="95"/>
        <v>4510</v>
      </c>
      <c r="DU174" s="158"/>
      <c r="EG174" s="157"/>
      <c r="EH174" s="157" t="s">
        <v>670</v>
      </c>
      <c r="EI174" s="155">
        <v>850</v>
      </c>
      <c r="EJ174" s="490">
        <f t="shared" si="96"/>
        <v>850</v>
      </c>
      <c r="EK174" s="491"/>
      <c r="EL174" s="492">
        <f t="shared" si="97"/>
        <v>850</v>
      </c>
    </row>
    <row r="175" spans="12:142" x14ac:dyDescent="0.2">
      <c r="L175" s="54" t="s">
        <v>720</v>
      </c>
      <c r="M175" s="44" t="s">
        <v>721</v>
      </c>
      <c r="N175" s="85" t="s">
        <v>749</v>
      </c>
      <c r="O175" s="403" t="s">
        <v>195</v>
      </c>
      <c r="U175" s="415"/>
      <c r="V175" s="416"/>
      <c r="W175" s="151"/>
      <c r="AY175" s="212"/>
      <c r="AZ175" s="207"/>
      <c r="BA175" s="208"/>
      <c r="CX175" s="113"/>
      <c r="DD175" s="157" t="s">
        <v>1491</v>
      </c>
      <c r="DE175" s="158">
        <v>5360</v>
      </c>
      <c r="DF175" s="490">
        <f t="shared" si="94"/>
        <v>5360</v>
      </c>
      <c r="DG175" s="491"/>
      <c r="DH175" s="492">
        <f t="shared" si="95"/>
        <v>5360</v>
      </c>
      <c r="DU175" s="158"/>
      <c r="EG175" s="157"/>
      <c r="EH175" s="157" t="s">
        <v>671</v>
      </c>
      <c r="EI175" s="155">
        <v>850</v>
      </c>
      <c r="EJ175" s="490">
        <f t="shared" si="96"/>
        <v>850</v>
      </c>
      <c r="EK175" s="491"/>
      <c r="EL175" s="492">
        <f t="shared" si="97"/>
        <v>850</v>
      </c>
    </row>
    <row r="176" spans="12:142" x14ac:dyDescent="0.2">
      <c r="L176" s="54" t="s">
        <v>892</v>
      </c>
      <c r="M176" s="44" t="s">
        <v>722</v>
      </c>
      <c r="N176" s="85" t="s">
        <v>761</v>
      </c>
      <c r="O176" s="403" t="s">
        <v>195</v>
      </c>
      <c r="U176" s="45"/>
      <c r="V176" s="89"/>
      <c r="W176" s="85"/>
      <c r="AY176" s="220" t="s">
        <v>441</v>
      </c>
      <c r="AZ176" s="129" t="s">
        <v>36</v>
      </c>
      <c r="BA176" s="130" t="str">
        <f t="shared" ref="BA176:BA239" si="98">CONCATENATE(AY176,".",AZ176)</f>
        <v>КД ECO-FIT.A.стандарт</v>
      </c>
      <c r="CX176" s="113"/>
      <c r="DD176" s="157" t="s">
        <v>561</v>
      </c>
      <c r="DE176" s="158">
        <v>4720</v>
      </c>
      <c r="DF176" s="490">
        <f t="shared" si="94"/>
        <v>4720</v>
      </c>
      <c r="DG176" s="491"/>
      <c r="DH176" s="492">
        <f t="shared" si="95"/>
        <v>4720</v>
      </c>
      <c r="DU176" s="158"/>
      <c r="EG176" s="157"/>
      <c r="EH176" s="157" t="s">
        <v>672</v>
      </c>
      <c r="EI176" s="155">
        <v>850</v>
      </c>
      <c r="EJ176" s="490">
        <f t="shared" si="96"/>
        <v>850</v>
      </c>
      <c r="EK176" s="491"/>
      <c r="EL176" s="492">
        <f t="shared" si="97"/>
        <v>850</v>
      </c>
    </row>
    <row r="177" spans="12:142" x14ac:dyDescent="0.2">
      <c r="L177" s="54" t="s">
        <v>893</v>
      </c>
      <c r="M177" s="44" t="s">
        <v>134</v>
      </c>
      <c r="N177" s="85" t="s">
        <v>762</v>
      </c>
      <c r="O177" s="403" t="s">
        <v>195</v>
      </c>
      <c r="U177" s="536"/>
      <c r="V177" s="537"/>
      <c r="W177" s="538"/>
      <c r="AY177" s="209" t="s">
        <v>441</v>
      </c>
      <c r="AZ177" s="58" t="s">
        <v>156</v>
      </c>
      <c r="BA177" s="131" t="str">
        <f t="shared" si="98"/>
        <v>КД ECO-FIT.A.туннель</v>
      </c>
      <c r="CX177" s="113"/>
      <c r="DD177" s="157" t="s">
        <v>1492</v>
      </c>
      <c r="DE177" s="158">
        <v>5620</v>
      </c>
      <c r="DF177" s="490">
        <f t="shared" si="94"/>
        <v>5620</v>
      </c>
      <c r="DG177" s="491"/>
      <c r="DH177" s="492">
        <f t="shared" si="95"/>
        <v>5620</v>
      </c>
      <c r="DU177" s="158"/>
      <c r="EG177" s="157"/>
      <c r="EH177" s="157" t="s">
        <v>673</v>
      </c>
      <c r="EI177" s="155">
        <v>850</v>
      </c>
      <c r="EJ177" s="490">
        <f t="shared" si="96"/>
        <v>850</v>
      </c>
      <c r="EK177" s="491"/>
      <c r="EL177" s="492">
        <f t="shared" si="97"/>
        <v>850</v>
      </c>
    </row>
    <row r="178" spans="12:142" x14ac:dyDescent="0.2">
      <c r="L178" s="54" t="s">
        <v>896</v>
      </c>
      <c r="M178" s="44" t="s">
        <v>135</v>
      </c>
      <c r="N178" s="85" t="s">
        <v>765</v>
      </c>
      <c r="O178" s="403" t="s">
        <v>195</v>
      </c>
      <c r="U178" s="45"/>
      <c r="V178" s="89"/>
      <c r="W178" s="85"/>
      <c r="AY178" s="220" t="s">
        <v>442</v>
      </c>
      <c r="AZ178" s="129" t="s">
        <v>36</v>
      </c>
      <c r="BA178" s="130" t="str">
        <f t="shared" si="98"/>
        <v>КД ECO-FIT.B.стандарт</v>
      </c>
      <c r="DD178" s="157" t="s">
        <v>562</v>
      </c>
      <c r="DE178" s="158">
        <v>4930</v>
      </c>
      <c r="DF178" s="490">
        <f t="shared" si="94"/>
        <v>4930</v>
      </c>
      <c r="DG178" s="491"/>
      <c r="DH178" s="492">
        <f t="shared" si="95"/>
        <v>4930</v>
      </c>
      <c r="DU178" s="158"/>
      <c r="EG178" s="157"/>
      <c r="EH178" s="157" t="s">
        <v>674</v>
      </c>
      <c r="EI178" s="155">
        <v>850</v>
      </c>
      <c r="EJ178" s="490">
        <f t="shared" si="96"/>
        <v>850</v>
      </c>
      <c r="EK178" s="491"/>
      <c r="EL178" s="492">
        <f t="shared" si="97"/>
        <v>850</v>
      </c>
    </row>
    <row r="179" spans="12:142" x14ac:dyDescent="0.2">
      <c r="L179" s="45" t="s">
        <v>129</v>
      </c>
      <c r="M179" s="44" t="s">
        <v>3</v>
      </c>
      <c r="N179" s="85" t="s">
        <v>750</v>
      </c>
      <c r="O179" s="403" t="s">
        <v>195</v>
      </c>
      <c r="P179" s="20"/>
      <c r="U179" s="45" t="s">
        <v>874</v>
      </c>
      <c r="V179" s="89" t="s">
        <v>212</v>
      </c>
      <c r="W179" s="85" t="s">
        <v>786</v>
      </c>
      <c r="AY179" s="209" t="s">
        <v>442</v>
      </c>
      <c r="AZ179" s="58" t="s">
        <v>156</v>
      </c>
      <c r="BA179" s="131" t="str">
        <f t="shared" si="98"/>
        <v>КД ECO-FIT.B.туннель</v>
      </c>
      <c r="DD179" s="157" t="s">
        <v>1493</v>
      </c>
      <c r="DE179" s="158">
        <v>5850</v>
      </c>
      <c r="DF179" s="490">
        <f t="shared" si="94"/>
        <v>5850</v>
      </c>
      <c r="DG179" s="491"/>
      <c r="DH179" s="492">
        <f t="shared" si="95"/>
        <v>5850</v>
      </c>
      <c r="DU179" s="158"/>
      <c r="EG179" s="157"/>
      <c r="EH179" s="157" t="s">
        <v>1771</v>
      </c>
      <c r="EI179" s="155">
        <v>850</v>
      </c>
      <c r="EJ179" s="490">
        <f t="shared" si="96"/>
        <v>850</v>
      </c>
      <c r="EK179" s="491"/>
      <c r="EL179" s="492">
        <f t="shared" si="97"/>
        <v>850</v>
      </c>
    </row>
    <row r="180" spans="12:142" x14ac:dyDescent="0.2">
      <c r="L180" s="45" t="s">
        <v>897</v>
      </c>
      <c r="M180" s="44" t="s">
        <v>4</v>
      </c>
      <c r="N180" s="85" t="s">
        <v>766</v>
      </c>
      <c r="O180" s="403" t="s">
        <v>195</v>
      </c>
      <c r="U180" s="45" t="s">
        <v>875</v>
      </c>
      <c r="V180" s="89" t="s">
        <v>213</v>
      </c>
      <c r="W180" s="85" t="s">
        <v>991</v>
      </c>
      <c r="AY180" s="220" t="s">
        <v>443</v>
      </c>
      <c r="AZ180" s="129" t="s">
        <v>36</v>
      </c>
      <c r="BA180" s="130" t="str">
        <f t="shared" si="98"/>
        <v>КД ECO-FIT.B+.стандарт</v>
      </c>
      <c r="DD180" s="157" t="s">
        <v>563</v>
      </c>
      <c r="DE180" s="158">
        <v>5160</v>
      </c>
      <c r="DF180" s="490">
        <f t="shared" si="94"/>
        <v>5160</v>
      </c>
      <c r="DG180" s="491"/>
      <c r="DH180" s="492">
        <f t="shared" si="95"/>
        <v>5160</v>
      </c>
      <c r="DU180" s="158"/>
      <c r="EG180" s="157"/>
      <c r="EH180" s="157" t="s">
        <v>675</v>
      </c>
      <c r="EI180" s="155">
        <v>850</v>
      </c>
      <c r="EJ180" s="490">
        <f t="shared" si="96"/>
        <v>850</v>
      </c>
      <c r="EK180" s="491"/>
      <c r="EL180" s="492">
        <f t="shared" si="97"/>
        <v>850</v>
      </c>
    </row>
    <row r="181" spans="12:142" x14ac:dyDescent="0.2">
      <c r="L181" s="45"/>
      <c r="M181" s="44"/>
      <c r="N181" s="85"/>
      <c r="O181" s="403"/>
      <c r="U181" s="45" t="s">
        <v>1874</v>
      </c>
      <c r="V181" s="89" t="s">
        <v>212</v>
      </c>
      <c r="W181" s="85" t="s">
        <v>786</v>
      </c>
      <c r="AY181" s="209" t="s">
        <v>443</v>
      </c>
      <c r="AZ181" s="58" t="s">
        <v>156</v>
      </c>
      <c r="BA181" s="131" t="str">
        <f t="shared" si="98"/>
        <v>КД ECO-FIT.B+.туннель</v>
      </c>
      <c r="DD181" s="157" t="s">
        <v>1494</v>
      </c>
      <c r="DE181" s="158">
        <v>6090</v>
      </c>
      <c r="DF181" s="490">
        <f t="shared" si="94"/>
        <v>6090</v>
      </c>
      <c r="DG181" s="491"/>
      <c r="DH181" s="492">
        <f t="shared" si="95"/>
        <v>6090</v>
      </c>
      <c r="DU181" s="158"/>
      <c r="EG181" s="157"/>
      <c r="EH181" s="505"/>
      <c r="EI181" s="506"/>
      <c r="EJ181" s="507"/>
      <c r="EK181" s="506"/>
      <c r="EL181" s="506"/>
    </row>
    <row r="182" spans="12:142" x14ac:dyDescent="0.2">
      <c r="L182" s="45" t="s">
        <v>760</v>
      </c>
      <c r="M182" s="44" t="s">
        <v>5</v>
      </c>
      <c r="N182" s="85" t="s">
        <v>760</v>
      </c>
      <c r="O182" s="403" t="s">
        <v>196</v>
      </c>
      <c r="U182" s="45" t="s">
        <v>1875</v>
      </c>
      <c r="V182" s="89" t="s">
        <v>213</v>
      </c>
      <c r="W182" s="85" t="s">
        <v>991</v>
      </c>
      <c r="AY182" s="220" t="s">
        <v>444</v>
      </c>
      <c r="AZ182" s="129" t="s">
        <v>36</v>
      </c>
      <c r="BA182" s="130" t="str">
        <f t="shared" si="98"/>
        <v>КД ECO-FIT.C.стандарт</v>
      </c>
      <c r="DD182" s="595"/>
      <c r="DE182" s="596"/>
      <c r="DF182" s="597"/>
      <c r="DG182" s="598"/>
      <c r="DH182" s="599"/>
      <c r="DU182" s="158"/>
      <c r="EG182" s="157"/>
      <c r="EH182" s="56"/>
      <c r="EI182" s="95"/>
      <c r="EJ182" s="111"/>
      <c r="EK182" s="95"/>
      <c r="EL182" s="95"/>
    </row>
    <row r="183" spans="12:142" x14ac:dyDescent="0.2">
      <c r="L183" s="45" t="s">
        <v>767</v>
      </c>
      <c r="M183" s="44" t="s">
        <v>6</v>
      </c>
      <c r="N183" s="85" t="s">
        <v>767</v>
      </c>
      <c r="O183" s="403" t="s">
        <v>196</v>
      </c>
      <c r="U183" s="146"/>
      <c r="V183" s="143"/>
      <c r="W183" s="151"/>
      <c r="AY183" s="209" t="s">
        <v>444</v>
      </c>
      <c r="AZ183" s="58" t="s">
        <v>156</v>
      </c>
      <c r="BA183" s="131" t="str">
        <f t="shared" si="98"/>
        <v>КД ECO-FIT.C.туннель</v>
      </c>
      <c r="DD183" s="157" t="s">
        <v>1591</v>
      </c>
      <c r="DE183" s="158">
        <v>3820</v>
      </c>
      <c r="DF183" s="490">
        <f t="shared" ref="DF183:DF202" si="99">ROUND(((DE183-(DE183/6))/$DD$3)*$DE$3,2)</f>
        <v>3820</v>
      </c>
      <c r="DG183" s="491"/>
      <c r="DH183" s="492">
        <f t="shared" ref="DH183:DH202" si="100">IF(DG183="",DF183,
IF(AND($DE$10&gt;=VLOOKUP(DG183,$DD$5:$DH$9,2,0),$DE$10&lt;=VLOOKUP(DG183,$DD$5:$DH$9,3,0)),
(DF183*(1-VLOOKUP(DG183,$DD$5:$DH$9,4,0))),
DF183))</f>
        <v>3820</v>
      </c>
      <c r="DU183" s="158"/>
      <c r="EG183" s="157"/>
      <c r="EH183" s="56"/>
      <c r="EI183" s="95"/>
      <c r="EJ183" s="111"/>
      <c r="EK183" s="95"/>
      <c r="EL183" s="95"/>
    </row>
    <row r="184" spans="12:142" x14ac:dyDescent="0.2">
      <c r="L184" s="45" t="s">
        <v>768</v>
      </c>
      <c r="M184" s="44" t="s">
        <v>7</v>
      </c>
      <c r="N184" s="85" t="s">
        <v>768</v>
      </c>
      <c r="O184" s="403" t="s">
        <v>196</v>
      </c>
      <c r="U184" s="415"/>
      <c r="V184" s="416"/>
      <c r="W184" s="151"/>
      <c r="AY184" s="220" t="s">
        <v>445</v>
      </c>
      <c r="AZ184" s="129" t="s">
        <v>36</v>
      </c>
      <c r="BA184" s="130" t="str">
        <f t="shared" si="98"/>
        <v>КД ECO-FIT.D.стандарт</v>
      </c>
      <c r="DD184" s="157" t="s">
        <v>1592</v>
      </c>
      <c r="DE184" s="158">
        <v>4670</v>
      </c>
      <c r="DF184" s="490">
        <f t="shared" si="99"/>
        <v>4670</v>
      </c>
      <c r="DG184" s="491"/>
      <c r="DH184" s="492">
        <f t="shared" si="100"/>
        <v>4670</v>
      </c>
      <c r="DU184" s="158"/>
      <c r="EG184" s="157"/>
      <c r="EH184" s="44"/>
      <c r="EI184" s="44"/>
      <c r="EJ184" s="112"/>
      <c r="EK184" s="44"/>
      <c r="EL184" s="44"/>
    </row>
    <row r="185" spans="12:142" x14ac:dyDescent="0.2">
      <c r="L185" s="45" t="s">
        <v>1288</v>
      </c>
      <c r="M185" s="44" t="s">
        <v>1413</v>
      </c>
      <c r="N185" s="85" t="s">
        <v>1412</v>
      </c>
      <c r="O185" s="403" t="s">
        <v>196</v>
      </c>
      <c r="U185" s="45" t="s">
        <v>880</v>
      </c>
      <c r="V185" s="89" t="s">
        <v>212</v>
      </c>
      <c r="W185" s="85" t="s">
        <v>787</v>
      </c>
      <c r="AY185" s="209" t="s">
        <v>445</v>
      </c>
      <c r="AZ185" s="58" t="s">
        <v>156</v>
      </c>
      <c r="BA185" s="131" t="str">
        <f t="shared" si="98"/>
        <v>КД ECO-FIT.D.туннель</v>
      </c>
      <c r="DD185" s="157" t="s">
        <v>1593</v>
      </c>
      <c r="DE185" s="158">
        <v>4020</v>
      </c>
      <c r="DF185" s="490">
        <f t="shared" si="99"/>
        <v>4020</v>
      </c>
      <c r="DG185" s="491"/>
      <c r="DH185" s="492">
        <f t="shared" si="100"/>
        <v>4020</v>
      </c>
      <c r="DU185" s="158"/>
      <c r="EG185" s="157"/>
      <c r="EH185" s="44"/>
      <c r="EI185" s="44"/>
      <c r="EJ185" s="112"/>
      <c r="EK185" s="44"/>
      <c r="EL185" s="44"/>
    </row>
    <row r="186" spans="12:142" x14ac:dyDescent="0.2">
      <c r="L186" s="45" t="s">
        <v>1289</v>
      </c>
      <c r="M186" s="45" t="s">
        <v>1876</v>
      </c>
      <c r="N186" s="85" t="s">
        <v>1877</v>
      </c>
      <c r="O186" s="403" t="s">
        <v>196</v>
      </c>
      <c r="U186" s="45" t="s">
        <v>881</v>
      </c>
      <c r="V186" s="89" t="s">
        <v>213</v>
      </c>
      <c r="W186" s="85" t="s">
        <v>992</v>
      </c>
      <c r="AY186" s="220" t="s">
        <v>446</v>
      </c>
      <c r="AZ186" s="129" t="s">
        <v>36</v>
      </c>
      <c r="BA186" s="130" t="str">
        <f t="shared" si="98"/>
        <v>КД ECO-FIT.E.стандарт</v>
      </c>
      <c r="DD186" s="157" t="s">
        <v>1594</v>
      </c>
      <c r="DE186" s="158">
        <v>4910</v>
      </c>
      <c r="DF186" s="490">
        <f t="shared" si="99"/>
        <v>4910</v>
      </c>
      <c r="DG186" s="491"/>
      <c r="DH186" s="492">
        <f t="shared" si="100"/>
        <v>4910</v>
      </c>
      <c r="DU186" s="158"/>
      <c r="EG186" s="157"/>
      <c r="EH186" s="521"/>
      <c r="EI186" s="521"/>
      <c r="EJ186" s="603"/>
      <c r="EK186" s="521"/>
      <c r="EL186" s="521"/>
    </row>
    <row r="187" spans="12:142" x14ac:dyDescent="0.2">
      <c r="L187" s="45"/>
      <c r="M187" s="44"/>
      <c r="N187" s="85"/>
      <c r="O187" s="403"/>
      <c r="U187" s="415"/>
      <c r="V187" s="416"/>
      <c r="W187" s="151"/>
      <c r="AY187" s="209" t="s">
        <v>446</v>
      </c>
      <c r="AZ187" s="58" t="s">
        <v>156</v>
      </c>
      <c r="BA187" s="131" t="str">
        <f t="shared" si="98"/>
        <v>КД ECO-FIT.E.туннель</v>
      </c>
      <c r="DD187" s="157" t="s">
        <v>1595</v>
      </c>
      <c r="DE187" s="158">
        <v>4140</v>
      </c>
      <c r="DF187" s="490">
        <f t="shared" si="99"/>
        <v>4140</v>
      </c>
      <c r="DG187" s="491"/>
      <c r="DH187" s="492">
        <f t="shared" si="100"/>
        <v>4140</v>
      </c>
      <c r="DU187" s="158"/>
      <c r="EG187" s="157"/>
    </row>
    <row r="188" spans="12:142" x14ac:dyDescent="0.2">
      <c r="L188" s="45" t="s">
        <v>902</v>
      </c>
      <c r="M188" s="44" t="s">
        <v>51</v>
      </c>
      <c r="N188" s="85" t="s">
        <v>993</v>
      </c>
      <c r="O188" s="403" t="s">
        <v>195</v>
      </c>
      <c r="U188" s="45" t="s">
        <v>882</v>
      </c>
      <c r="V188" s="89" t="s">
        <v>212</v>
      </c>
      <c r="W188" s="85" t="s">
        <v>787</v>
      </c>
      <c r="AY188" s="220" t="s">
        <v>447</v>
      </c>
      <c r="AZ188" s="129" t="s">
        <v>36</v>
      </c>
      <c r="BA188" s="130" t="str">
        <f t="shared" si="98"/>
        <v>КД ECO-FIT.F.стандарт</v>
      </c>
      <c r="DD188" s="157" t="s">
        <v>1596</v>
      </c>
      <c r="DE188" s="158">
        <v>5050</v>
      </c>
      <c r="DF188" s="490">
        <f t="shared" si="99"/>
        <v>5050</v>
      </c>
      <c r="DG188" s="491"/>
      <c r="DH188" s="492">
        <f t="shared" si="100"/>
        <v>5050</v>
      </c>
      <c r="DU188" s="158"/>
      <c r="EG188" s="157"/>
    </row>
    <row r="189" spans="12:142" x14ac:dyDescent="0.2">
      <c r="L189" s="45"/>
      <c r="M189" s="44"/>
      <c r="N189" s="85"/>
      <c r="O189" s="403" t="s">
        <v>195</v>
      </c>
      <c r="U189" s="45" t="s">
        <v>883</v>
      </c>
      <c r="V189" s="89" t="s">
        <v>213</v>
      </c>
      <c r="W189" s="85" t="s">
        <v>992</v>
      </c>
      <c r="AY189" s="209" t="s">
        <v>447</v>
      </c>
      <c r="AZ189" s="58" t="s">
        <v>156</v>
      </c>
      <c r="BA189" s="131" t="str">
        <f t="shared" si="98"/>
        <v>КД ECO-FIT.F.туннель</v>
      </c>
      <c r="DD189" s="157" t="s">
        <v>1597</v>
      </c>
      <c r="DE189" s="158">
        <v>4240</v>
      </c>
      <c r="DF189" s="490">
        <f t="shared" si="99"/>
        <v>4240</v>
      </c>
      <c r="DG189" s="491"/>
      <c r="DH189" s="492">
        <f t="shared" si="100"/>
        <v>4240</v>
      </c>
      <c r="DU189" s="158"/>
      <c r="EG189" s="157"/>
    </row>
    <row r="190" spans="12:142" x14ac:dyDescent="0.2">
      <c r="L190" s="392" t="s">
        <v>898</v>
      </c>
      <c r="M190" s="44" t="s">
        <v>835</v>
      </c>
      <c r="N190" s="85" t="s">
        <v>829</v>
      </c>
      <c r="O190" s="403" t="s">
        <v>195</v>
      </c>
      <c r="P190" s="20"/>
      <c r="U190" s="415"/>
      <c r="V190" s="416"/>
      <c r="W190" s="151"/>
      <c r="AY190" s="220" t="s">
        <v>448</v>
      </c>
      <c r="AZ190" s="129" t="s">
        <v>36</v>
      </c>
      <c r="BA190" s="130" t="str">
        <f t="shared" si="98"/>
        <v>КД ECO-FIT.G.стандарт</v>
      </c>
      <c r="DD190" s="157" t="s">
        <v>1598</v>
      </c>
      <c r="DE190" s="158">
        <v>5160</v>
      </c>
      <c r="DF190" s="490">
        <f t="shared" si="99"/>
        <v>5160</v>
      </c>
      <c r="DG190" s="491"/>
      <c r="DH190" s="492">
        <f t="shared" si="100"/>
        <v>5160</v>
      </c>
      <c r="DU190" s="158"/>
      <c r="EG190" s="157"/>
    </row>
    <row r="191" spans="12:142" x14ac:dyDescent="0.2">
      <c r="L191" s="392" t="s">
        <v>899</v>
      </c>
      <c r="M191" s="44" t="s">
        <v>836</v>
      </c>
      <c r="N191" s="85" t="s">
        <v>830</v>
      </c>
      <c r="O191" s="403" t="s">
        <v>195</v>
      </c>
      <c r="U191" s="54" t="s">
        <v>884</v>
      </c>
      <c r="V191" s="89" t="s">
        <v>212</v>
      </c>
      <c r="W191" s="85" t="s">
        <v>787</v>
      </c>
      <c r="AY191" s="209" t="s">
        <v>448</v>
      </c>
      <c r="AZ191" s="58" t="s">
        <v>156</v>
      </c>
      <c r="BA191" s="131" t="str">
        <f t="shared" si="98"/>
        <v>КД ECO-FIT.G.туннель</v>
      </c>
      <c r="DD191" s="157" t="s">
        <v>1599</v>
      </c>
      <c r="DE191" s="158">
        <v>4470</v>
      </c>
      <c r="DF191" s="490">
        <f t="shared" si="99"/>
        <v>4470</v>
      </c>
      <c r="DG191" s="491"/>
      <c r="DH191" s="492">
        <f t="shared" si="100"/>
        <v>4470</v>
      </c>
      <c r="DU191" s="158"/>
      <c r="EG191" s="157"/>
    </row>
    <row r="192" spans="12:142" x14ac:dyDescent="0.2">
      <c r="L192" s="392" t="s">
        <v>900</v>
      </c>
      <c r="M192" s="44" t="s">
        <v>837</v>
      </c>
      <c r="N192" s="85" t="s">
        <v>831</v>
      </c>
      <c r="O192" s="403" t="s">
        <v>195</v>
      </c>
      <c r="U192" s="54" t="s">
        <v>885</v>
      </c>
      <c r="V192" s="89" t="s">
        <v>213</v>
      </c>
      <c r="W192" s="85" t="s">
        <v>992</v>
      </c>
      <c r="AY192" s="220" t="s">
        <v>449</v>
      </c>
      <c r="AZ192" s="129" t="s">
        <v>36</v>
      </c>
      <c r="BA192" s="130" t="str">
        <f t="shared" si="98"/>
        <v>КД ECO-FIT.H.стандарт</v>
      </c>
      <c r="DD192" s="157" t="s">
        <v>1600</v>
      </c>
      <c r="DE192" s="158">
        <v>5390</v>
      </c>
      <c r="DF192" s="490">
        <f t="shared" si="99"/>
        <v>5390</v>
      </c>
      <c r="DG192" s="491"/>
      <c r="DH192" s="492">
        <f t="shared" si="100"/>
        <v>5390</v>
      </c>
      <c r="DU192" s="158"/>
      <c r="EG192" s="157"/>
    </row>
    <row r="193" spans="12:137" x14ac:dyDescent="0.2">
      <c r="L193" s="392" t="s">
        <v>725</v>
      </c>
      <c r="M193" s="44" t="s">
        <v>838</v>
      </c>
      <c r="N193" s="85" t="s">
        <v>832</v>
      </c>
      <c r="O193" s="403" t="s">
        <v>195</v>
      </c>
      <c r="U193" s="212"/>
      <c r="V193" s="455"/>
      <c r="W193" s="85"/>
      <c r="AY193" s="209" t="s">
        <v>449</v>
      </c>
      <c r="AZ193" s="58" t="s">
        <v>156</v>
      </c>
      <c r="BA193" s="131" t="str">
        <f t="shared" si="98"/>
        <v>КД ECO-FIT.H.туннель</v>
      </c>
      <c r="DD193" s="157" t="s">
        <v>1601</v>
      </c>
      <c r="DE193" s="158">
        <v>4670</v>
      </c>
      <c r="DF193" s="490">
        <f t="shared" si="99"/>
        <v>4670</v>
      </c>
      <c r="DG193" s="491"/>
      <c r="DH193" s="492">
        <f t="shared" si="100"/>
        <v>4670</v>
      </c>
      <c r="DU193" s="158"/>
      <c r="EG193" s="157"/>
    </row>
    <row r="194" spans="12:137" x14ac:dyDescent="0.2">
      <c r="L194" s="392" t="s">
        <v>726</v>
      </c>
      <c r="M194" s="44" t="s">
        <v>839</v>
      </c>
      <c r="N194" s="85" t="s">
        <v>833</v>
      </c>
      <c r="O194" s="403"/>
      <c r="U194" s="41" t="s">
        <v>1420</v>
      </c>
      <c r="V194" s="89" t="s">
        <v>298</v>
      </c>
      <c r="W194" s="717" t="s">
        <v>788</v>
      </c>
      <c r="AY194" s="220" t="s">
        <v>450</v>
      </c>
      <c r="AZ194" s="129" t="s">
        <v>36</v>
      </c>
      <c r="BA194" s="130" t="str">
        <f t="shared" si="98"/>
        <v>КД ECO-FIT.I.стандарт</v>
      </c>
      <c r="DD194" s="157" t="s">
        <v>1602</v>
      </c>
      <c r="DE194" s="158">
        <v>5640</v>
      </c>
      <c r="DF194" s="490">
        <f t="shared" si="99"/>
        <v>5640</v>
      </c>
      <c r="DG194" s="491"/>
      <c r="DH194" s="492">
        <f t="shared" si="100"/>
        <v>5640</v>
      </c>
      <c r="DU194" s="158"/>
      <c r="EG194" s="157"/>
    </row>
    <row r="195" spans="12:137" x14ac:dyDescent="0.2">
      <c r="L195" s="392" t="s">
        <v>727</v>
      </c>
      <c r="M195" s="44" t="s">
        <v>840</v>
      </c>
      <c r="N195" s="85" t="s">
        <v>834</v>
      </c>
      <c r="O195" s="403" t="s">
        <v>195</v>
      </c>
      <c r="U195" s="41" t="s">
        <v>1416</v>
      </c>
      <c r="V195" s="89" t="s">
        <v>298</v>
      </c>
      <c r="W195" s="717" t="s">
        <v>788</v>
      </c>
      <c r="AY195" s="209" t="s">
        <v>450</v>
      </c>
      <c r="AZ195" s="58" t="s">
        <v>156</v>
      </c>
      <c r="BA195" s="131" t="str">
        <f t="shared" si="98"/>
        <v>КД ECO-FIT.I.туннель</v>
      </c>
      <c r="DD195" s="157" t="s">
        <v>1603</v>
      </c>
      <c r="DE195" s="158">
        <v>4900</v>
      </c>
      <c r="DF195" s="490">
        <f t="shared" si="99"/>
        <v>4900</v>
      </c>
      <c r="DG195" s="491"/>
      <c r="DH195" s="492">
        <f t="shared" si="100"/>
        <v>4900</v>
      </c>
      <c r="DU195" s="158"/>
      <c r="EG195" s="157"/>
    </row>
    <row r="196" spans="12:137" x14ac:dyDescent="0.2">
      <c r="L196" s="45"/>
      <c r="M196" s="44"/>
      <c r="N196" s="85"/>
      <c r="O196" s="403" t="s">
        <v>195</v>
      </c>
      <c r="U196" s="45"/>
      <c r="V196" s="89"/>
      <c r="W196" s="85"/>
      <c r="AY196" s="212"/>
      <c r="AZ196" s="207"/>
      <c r="BA196" s="208"/>
      <c r="DD196" s="157" t="s">
        <v>1604</v>
      </c>
      <c r="DE196" s="158">
        <v>5900</v>
      </c>
      <c r="DF196" s="490">
        <f t="shared" si="99"/>
        <v>5900</v>
      </c>
      <c r="DG196" s="491"/>
      <c r="DH196" s="492">
        <f t="shared" si="100"/>
        <v>5900</v>
      </c>
      <c r="DU196" s="158"/>
      <c r="EG196" s="157"/>
    </row>
    <row r="197" spans="12:137" x14ac:dyDescent="0.2">
      <c r="L197" s="45" t="s">
        <v>901</v>
      </c>
      <c r="M197" s="44" t="s">
        <v>48</v>
      </c>
      <c r="N197" s="85" t="s">
        <v>769</v>
      </c>
      <c r="O197" s="403"/>
      <c r="U197" s="45"/>
      <c r="V197" s="89"/>
      <c r="W197" s="85"/>
      <c r="AY197" s="220" t="s">
        <v>1687</v>
      </c>
      <c r="AZ197" s="129" t="s">
        <v>36</v>
      </c>
      <c r="BA197" s="130" t="str">
        <f t="shared" ref="BA197:BA216" si="101">CONCATENATE(AY197,".",AZ197)</f>
        <v>КД ECO-FIT Plus.A.стандарт</v>
      </c>
      <c r="DD197" s="157" t="s">
        <v>1605</v>
      </c>
      <c r="DE197" s="158">
        <v>5090</v>
      </c>
      <c r="DF197" s="490">
        <f t="shared" si="99"/>
        <v>5090</v>
      </c>
      <c r="DG197" s="491"/>
      <c r="DH197" s="492">
        <f t="shared" si="100"/>
        <v>5090</v>
      </c>
      <c r="DU197" s="158"/>
      <c r="EG197" s="157"/>
    </row>
    <row r="198" spans="12:137" x14ac:dyDescent="0.2">
      <c r="L198" s="45" t="s">
        <v>903</v>
      </c>
      <c r="M198" s="44" t="s">
        <v>52</v>
      </c>
      <c r="N198" s="85" t="s">
        <v>770</v>
      </c>
      <c r="O198" s="403" t="s">
        <v>195</v>
      </c>
      <c r="U198" s="45"/>
      <c r="V198" s="89"/>
      <c r="W198" s="85"/>
      <c r="AY198" s="209" t="s">
        <v>1687</v>
      </c>
      <c r="AZ198" s="58" t="s">
        <v>156</v>
      </c>
      <c r="BA198" s="131" t="str">
        <f t="shared" si="101"/>
        <v>КД ECO-FIT Plus.A.туннель</v>
      </c>
      <c r="DD198" s="157" t="s">
        <v>1606</v>
      </c>
      <c r="DE198" s="158">
        <v>6140</v>
      </c>
      <c r="DF198" s="490">
        <f t="shared" si="99"/>
        <v>6140</v>
      </c>
      <c r="DG198" s="491"/>
      <c r="DH198" s="492">
        <f t="shared" si="100"/>
        <v>6140</v>
      </c>
      <c r="DU198" s="158"/>
      <c r="EG198" s="157"/>
    </row>
    <row r="199" spans="12:137" x14ac:dyDescent="0.2">
      <c r="L199" s="45"/>
      <c r="M199" s="44"/>
      <c r="N199" s="85"/>
      <c r="O199" s="403" t="s">
        <v>195</v>
      </c>
      <c r="U199" s="45"/>
      <c r="V199" s="89"/>
      <c r="W199" s="85"/>
      <c r="AY199" s="220" t="s">
        <v>1689</v>
      </c>
      <c r="AZ199" s="129" t="s">
        <v>36</v>
      </c>
      <c r="BA199" s="130" t="str">
        <f t="shared" si="101"/>
        <v>КД ECO-FIT Plus.B.стандарт</v>
      </c>
      <c r="DD199" s="157" t="s">
        <v>1607</v>
      </c>
      <c r="DE199" s="158">
        <v>5300</v>
      </c>
      <c r="DF199" s="490">
        <f t="shared" si="99"/>
        <v>5300</v>
      </c>
      <c r="DG199" s="491"/>
      <c r="DH199" s="492">
        <f t="shared" si="100"/>
        <v>5300</v>
      </c>
      <c r="DU199" s="158"/>
      <c r="EG199" s="157"/>
    </row>
    <row r="200" spans="12:137" x14ac:dyDescent="0.2">
      <c r="L200" s="136" t="s">
        <v>904</v>
      </c>
      <c r="M200" s="44" t="s">
        <v>49</v>
      </c>
      <c r="N200" s="85" t="s">
        <v>1873</v>
      </c>
      <c r="O200" s="403"/>
      <c r="U200" s="528"/>
      <c r="V200" s="539"/>
      <c r="W200" s="521"/>
      <c r="AY200" s="209" t="s">
        <v>1689</v>
      </c>
      <c r="AZ200" s="58" t="s">
        <v>156</v>
      </c>
      <c r="BA200" s="131" t="str">
        <f t="shared" si="101"/>
        <v>КД ECO-FIT Plus.B.туннель</v>
      </c>
      <c r="DD200" s="157" t="s">
        <v>1608</v>
      </c>
      <c r="DE200" s="158">
        <v>6380</v>
      </c>
      <c r="DF200" s="490">
        <f t="shared" si="99"/>
        <v>6380</v>
      </c>
      <c r="DG200" s="491"/>
      <c r="DH200" s="492">
        <f t="shared" si="100"/>
        <v>6380</v>
      </c>
      <c r="DU200" s="158"/>
      <c r="EG200" s="157"/>
    </row>
    <row r="201" spans="12:137" x14ac:dyDescent="0.2">
      <c r="L201" s="54" t="s">
        <v>1515</v>
      </c>
      <c r="M201" s="44" t="s">
        <v>50</v>
      </c>
      <c r="N201" s="85" t="s">
        <v>1872</v>
      </c>
      <c r="O201" s="650"/>
      <c r="P201" s="20"/>
      <c r="AY201" s="220" t="s">
        <v>1691</v>
      </c>
      <c r="AZ201" s="129" t="s">
        <v>36</v>
      </c>
      <c r="BA201" s="130" t="str">
        <f t="shared" si="101"/>
        <v>КД ECO-FIT Plus.B+.стандарт</v>
      </c>
      <c r="DD201" s="157" t="s">
        <v>1609</v>
      </c>
      <c r="DE201" s="158">
        <v>5520</v>
      </c>
      <c r="DF201" s="490">
        <f t="shared" si="99"/>
        <v>5520</v>
      </c>
      <c r="DG201" s="491"/>
      <c r="DH201" s="492">
        <f t="shared" si="100"/>
        <v>5520</v>
      </c>
      <c r="DU201" s="158"/>
      <c r="EG201" s="157"/>
    </row>
    <row r="202" spans="12:137" x14ac:dyDescent="0.2">
      <c r="L202" s="54"/>
      <c r="M202" s="44"/>
      <c r="N202" s="85"/>
      <c r="O202" s="403"/>
      <c r="AY202" s="209" t="s">
        <v>1691</v>
      </c>
      <c r="AZ202" s="58" t="s">
        <v>156</v>
      </c>
      <c r="BA202" s="131" t="str">
        <f t="shared" si="101"/>
        <v>КД ECO-FIT Plus.B+.туннель</v>
      </c>
      <c r="DD202" s="157" t="s">
        <v>1610</v>
      </c>
      <c r="DE202" s="158">
        <v>6610</v>
      </c>
      <c r="DF202" s="490">
        <f t="shared" si="99"/>
        <v>6610</v>
      </c>
      <c r="DG202" s="491"/>
      <c r="DH202" s="492">
        <f t="shared" si="100"/>
        <v>6610</v>
      </c>
      <c r="DU202" s="158"/>
      <c r="EG202" s="157"/>
    </row>
    <row r="203" spans="12:137" x14ac:dyDescent="0.2">
      <c r="L203" s="648"/>
      <c r="M203" s="649"/>
      <c r="N203" s="649"/>
      <c r="O203" s="403" t="s">
        <v>195</v>
      </c>
      <c r="AY203" s="220" t="s">
        <v>1693</v>
      </c>
      <c r="AZ203" s="129" t="s">
        <v>36</v>
      </c>
      <c r="BA203" s="130" t="str">
        <f t="shared" si="101"/>
        <v>КД ECO-FIT Plus.C.стандарт</v>
      </c>
      <c r="DD203" s="736"/>
      <c r="DE203" s="737"/>
      <c r="DF203" s="738"/>
      <c r="DG203" s="739"/>
      <c r="DH203" s="740"/>
      <c r="DU203" s="158"/>
      <c r="EG203" s="157"/>
    </row>
    <row r="204" spans="12:137" x14ac:dyDescent="0.2">
      <c r="L204" s="54"/>
      <c r="M204" s="44"/>
      <c r="N204" s="85"/>
      <c r="O204" s="403" t="s">
        <v>195</v>
      </c>
      <c r="AY204" s="209" t="s">
        <v>1693</v>
      </c>
      <c r="AZ204" s="58" t="s">
        <v>156</v>
      </c>
      <c r="BA204" s="131" t="str">
        <f t="shared" si="101"/>
        <v>КД ECO-FIT Plus.C.туннель</v>
      </c>
      <c r="DD204" s="157" t="s">
        <v>564</v>
      </c>
      <c r="DE204" s="158">
        <v>4350</v>
      </c>
      <c r="DF204" s="490">
        <f>ROUND(((DE204-(DE204/6))/$DD$3)*$DE$3,2)</f>
        <v>4350</v>
      </c>
      <c r="DG204" s="491"/>
      <c r="DH204" s="492">
        <f>IF(DG204="",DF204,
IF(AND($DE$10&gt;=VLOOKUP(DG204,$DD$5:$DH$9,2,0),$DE$10&lt;=VLOOKUP(DG204,$DD$5:$DH$9,3,0)),
(DF204*(1-VLOOKUP(DG204,$DD$5:$DH$9,4,0))),
DF204))</f>
        <v>4350</v>
      </c>
      <c r="DU204" s="158"/>
      <c r="EG204" s="157"/>
    </row>
    <row r="205" spans="12:137" x14ac:dyDescent="0.2">
      <c r="L205" s="54" t="s">
        <v>905</v>
      </c>
      <c r="M205" s="44" t="s">
        <v>193</v>
      </c>
      <c r="N205" s="85" t="s">
        <v>922</v>
      </c>
      <c r="O205" s="403" t="s">
        <v>195</v>
      </c>
      <c r="AY205" s="220" t="s">
        <v>1695</v>
      </c>
      <c r="AZ205" s="129" t="s">
        <v>36</v>
      </c>
      <c r="BA205" s="130" t="str">
        <f t="shared" si="101"/>
        <v>КД ECO-FIT Plus.D.стандарт</v>
      </c>
      <c r="DD205" s="157" t="s">
        <v>1495</v>
      </c>
      <c r="DE205" s="158">
        <v>4635</v>
      </c>
      <c r="DF205" s="490">
        <f>ROUND(((DE205-(DE205/6))/$DD$3)*$DE$3,2)</f>
        <v>4635</v>
      </c>
      <c r="DG205" s="491"/>
      <c r="DH205" s="492">
        <f>IF(DG205="",DF205,
IF(AND($DE$10&gt;=VLOOKUP(DG205,$DD$5:$DH$9,2,0),$DE$10&lt;=VLOOKUP(DG205,$DD$5:$DH$9,3,0)),
(DF205*(1-VLOOKUP(DG205,$DD$5:$DH$9,4,0))),
DF205))</f>
        <v>4635</v>
      </c>
      <c r="DU205" s="158"/>
      <c r="EG205" s="157"/>
    </row>
    <row r="206" spans="12:137" x14ac:dyDescent="0.2">
      <c r="L206" s="54" t="s">
        <v>906</v>
      </c>
      <c r="M206" s="44" t="s">
        <v>9</v>
      </c>
      <c r="N206" s="85" t="s">
        <v>923</v>
      </c>
      <c r="O206" s="403" t="s">
        <v>195</v>
      </c>
      <c r="AY206" s="209" t="s">
        <v>1695</v>
      </c>
      <c r="AZ206" s="58" t="s">
        <v>156</v>
      </c>
      <c r="BA206" s="131" t="str">
        <f t="shared" si="101"/>
        <v>КД ECO-FIT Plus.D.туннель</v>
      </c>
      <c r="DD206" s="595"/>
      <c r="DE206" s="596"/>
      <c r="DF206" s="597"/>
      <c r="DG206" s="598"/>
      <c r="DH206" s="599"/>
      <c r="DU206" s="158"/>
      <c r="EG206" s="157"/>
    </row>
    <row r="207" spans="12:137" x14ac:dyDescent="0.2">
      <c r="L207" s="54" t="s">
        <v>907</v>
      </c>
      <c r="M207" s="44" t="s">
        <v>10</v>
      </c>
      <c r="N207" s="85" t="s">
        <v>924</v>
      </c>
      <c r="O207" s="403" t="s">
        <v>195</v>
      </c>
      <c r="AY207" s="220" t="s">
        <v>1697</v>
      </c>
      <c r="AZ207" s="129" t="s">
        <v>36</v>
      </c>
      <c r="BA207" s="130" t="str">
        <f t="shared" si="101"/>
        <v>КД ECO-FIT Plus.E.стандарт</v>
      </c>
      <c r="DD207" s="157" t="s">
        <v>565</v>
      </c>
      <c r="DE207" s="158">
        <v>1130</v>
      </c>
      <c r="DF207" s="490">
        <f t="shared" ref="DF207:DF226" si="102">ROUND(((DE207-(DE207/6))/$DD$3)*$DE$3,2)</f>
        <v>1130</v>
      </c>
      <c r="DG207" s="491"/>
      <c r="DH207" s="492">
        <f t="shared" ref="DH207:DH226" si="103">IF(DG207="",DF207,
IF(AND($DE$10&gt;=VLOOKUP(DG207,$DD$5:$DH$9,2,0),$DE$10&lt;=VLOOKUP(DG207,$DD$5:$DH$9,3,0)),
(DF207*(1-VLOOKUP(DG207,$DD$5:$DH$9,4,0))),
DF207))</f>
        <v>1130</v>
      </c>
      <c r="DU207" s="158"/>
      <c r="EG207" s="157"/>
    </row>
    <row r="208" spans="12:137" x14ac:dyDescent="0.2">
      <c r="L208" s="54" t="s">
        <v>908</v>
      </c>
      <c r="M208" s="44" t="s">
        <v>11</v>
      </c>
      <c r="N208" s="85" t="s">
        <v>925</v>
      </c>
      <c r="O208" s="403" t="s">
        <v>195</v>
      </c>
      <c r="AY208" s="209" t="s">
        <v>1697</v>
      </c>
      <c r="AZ208" s="58" t="s">
        <v>156</v>
      </c>
      <c r="BA208" s="131" t="str">
        <f t="shared" si="101"/>
        <v>КД ECO-FIT Plus.E.туннель</v>
      </c>
      <c r="DD208" s="157" t="s">
        <v>1496</v>
      </c>
      <c r="DE208" s="158">
        <v>1370</v>
      </c>
      <c r="DF208" s="490">
        <f t="shared" si="102"/>
        <v>1370</v>
      </c>
      <c r="DG208" s="491"/>
      <c r="DH208" s="492">
        <f t="shared" si="103"/>
        <v>1370</v>
      </c>
      <c r="DU208" s="158"/>
      <c r="EG208" s="157"/>
    </row>
    <row r="209" spans="12:137" x14ac:dyDescent="0.2">
      <c r="L209" s="54" t="s">
        <v>909</v>
      </c>
      <c r="M209" s="44" t="s">
        <v>197</v>
      </c>
      <c r="N209" s="85" t="s">
        <v>926</v>
      </c>
      <c r="O209" s="403" t="s">
        <v>195</v>
      </c>
      <c r="AY209" s="220" t="s">
        <v>1699</v>
      </c>
      <c r="AZ209" s="129" t="s">
        <v>36</v>
      </c>
      <c r="BA209" s="130" t="str">
        <f t="shared" si="101"/>
        <v>КД ECO-FIT Plus.F.стандарт</v>
      </c>
      <c r="DD209" s="157" t="s">
        <v>566</v>
      </c>
      <c r="DE209" s="158">
        <v>1220</v>
      </c>
      <c r="DF209" s="490">
        <f t="shared" si="102"/>
        <v>1220</v>
      </c>
      <c r="DG209" s="491"/>
      <c r="DH209" s="492">
        <f t="shared" si="103"/>
        <v>1220</v>
      </c>
      <c r="DU209" s="158"/>
      <c r="EG209" s="157"/>
    </row>
    <row r="210" spans="12:137" x14ac:dyDescent="0.2">
      <c r="L210" s="136" t="s">
        <v>910</v>
      </c>
      <c r="M210" s="44" t="s">
        <v>240</v>
      </c>
      <c r="N210" s="85" t="s">
        <v>994</v>
      </c>
      <c r="O210" s="403" t="s">
        <v>195</v>
      </c>
      <c r="AY210" s="209" t="s">
        <v>1699</v>
      </c>
      <c r="AZ210" s="58" t="s">
        <v>156</v>
      </c>
      <c r="BA210" s="131" t="str">
        <f t="shared" si="101"/>
        <v>КД ECO-FIT Plus.F.туннель</v>
      </c>
      <c r="DD210" s="157" t="s">
        <v>1497</v>
      </c>
      <c r="DE210" s="158">
        <v>1510</v>
      </c>
      <c r="DF210" s="490">
        <f t="shared" si="102"/>
        <v>1510</v>
      </c>
      <c r="DG210" s="491"/>
      <c r="DH210" s="492">
        <f t="shared" si="103"/>
        <v>1510</v>
      </c>
      <c r="DU210" s="158"/>
      <c r="EG210" s="157"/>
    </row>
    <row r="211" spans="12:137" x14ac:dyDescent="0.2">
      <c r="L211" s="54" t="s">
        <v>911</v>
      </c>
      <c r="M211" s="44" t="s">
        <v>241</v>
      </c>
      <c r="N211" s="85" t="s">
        <v>995</v>
      </c>
      <c r="O211" s="403" t="s">
        <v>195</v>
      </c>
      <c r="AY211" s="220" t="s">
        <v>1701</v>
      </c>
      <c r="AZ211" s="129" t="s">
        <v>36</v>
      </c>
      <c r="BA211" s="130" t="str">
        <f t="shared" si="101"/>
        <v>КД ECO-FIT Plus.G.стандарт</v>
      </c>
      <c r="DD211" s="157" t="s">
        <v>567</v>
      </c>
      <c r="DE211" s="158">
        <v>1270</v>
      </c>
      <c r="DF211" s="490">
        <f t="shared" si="102"/>
        <v>1270</v>
      </c>
      <c r="DG211" s="491"/>
      <c r="DH211" s="492">
        <f t="shared" si="103"/>
        <v>1270</v>
      </c>
      <c r="DU211" s="158"/>
      <c r="EG211" s="157"/>
    </row>
    <row r="212" spans="12:137" x14ac:dyDescent="0.2">
      <c r="L212" s="54" t="s">
        <v>912</v>
      </c>
      <c r="M212" s="44" t="s">
        <v>269</v>
      </c>
      <c r="N212" s="85" t="s">
        <v>996</v>
      </c>
      <c r="O212" s="403" t="s">
        <v>195</v>
      </c>
      <c r="AY212" s="209" t="s">
        <v>1701</v>
      </c>
      <c r="AZ212" s="58" t="s">
        <v>156</v>
      </c>
      <c r="BA212" s="131" t="str">
        <f t="shared" si="101"/>
        <v>КД ECO-FIT Plus.G.туннель</v>
      </c>
      <c r="DD212" s="157" t="s">
        <v>1498</v>
      </c>
      <c r="DE212" s="158">
        <v>1560</v>
      </c>
      <c r="DF212" s="490">
        <f t="shared" si="102"/>
        <v>1560</v>
      </c>
      <c r="DG212" s="491"/>
      <c r="DH212" s="492">
        <f t="shared" si="103"/>
        <v>1560</v>
      </c>
      <c r="DU212" s="158"/>
      <c r="EG212" s="157"/>
    </row>
    <row r="213" spans="12:137" x14ac:dyDescent="0.2">
      <c r="L213" s="54" t="s">
        <v>913</v>
      </c>
      <c r="M213" s="44" t="s">
        <v>270</v>
      </c>
      <c r="N213" s="85" t="s">
        <v>997</v>
      </c>
      <c r="O213" s="403" t="s">
        <v>195</v>
      </c>
      <c r="AY213" s="220" t="s">
        <v>1703</v>
      </c>
      <c r="AZ213" s="129" t="s">
        <v>36</v>
      </c>
      <c r="BA213" s="130" t="str">
        <f t="shared" si="101"/>
        <v>КД ECO-FIT Plus.H.стандарт</v>
      </c>
      <c r="DD213" s="157" t="s">
        <v>568</v>
      </c>
      <c r="DE213" s="158">
        <v>1320</v>
      </c>
      <c r="DF213" s="490">
        <f t="shared" si="102"/>
        <v>1320</v>
      </c>
      <c r="DG213" s="491"/>
      <c r="DH213" s="492">
        <f t="shared" si="103"/>
        <v>1320</v>
      </c>
      <c r="DU213" s="158"/>
      <c r="EG213" s="157"/>
    </row>
    <row r="214" spans="12:137" x14ac:dyDescent="0.2">
      <c r="L214" s="54" t="s">
        <v>914</v>
      </c>
      <c r="M214" s="44" t="s">
        <v>271</v>
      </c>
      <c r="N214" s="85" t="s">
        <v>998</v>
      </c>
      <c r="O214" s="403" t="s">
        <v>195</v>
      </c>
      <c r="AY214" s="209" t="s">
        <v>1703</v>
      </c>
      <c r="AZ214" s="58" t="s">
        <v>156</v>
      </c>
      <c r="BA214" s="131" t="str">
        <f t="shared" si="101"/>
        <v>КД ECO-FIT Plus.H.туннель</v>
      </c>
      <c r="DD214" s="157" t="s">
        <v>1499</v>
      </c>
      <c r="DE214" s="158">
        <v>1620</v>
      </c>
      <c r="DF214" s="490">
        <f t="shared" si="102"/>
        <v>1620</v>
      </c>
      <c r="DG214" s="491"/>
      <c r="DH214" s="492">
        <f t="shared" si="103"/>
        <v>1620</v>
      </c>
      <c r="DU214" s="158"/>
      <c r="EG214" s="157"/>
    </row>
    <row r="215" spans="12:137" x14ac:dyDescent="0.2">
      <c r="L215" s="54" t="s">
        <v>915</v>
      </c>
      <c r="M215" s="44" t="s">
        <v>0</v>
      </c>
      <c r="N215" s="85" t="s">
        <v>999</v>
      </c>
      <c r="O215" s="403" t="s">
        <v>195</v>
      </c>
      <c r="AY215" s="220" t="s">
        <v>1705</v>
      </c>
      <c r="AZ215" s="129" t="s">
        <v>36</v>
      </c>
      <c r="BA215" s="130" t="str">
        <f t="shared" si="101"/>
        <v>КД ECO-FIT Plus.I.стандарт</v>
      </c>
      <c r="DD215" s="157" t="s">
        <v>569</v>
      </c>
      <c r="DE215" s="158">
        <v>1410</v>
      </c>
      <c r="DF215" s="490">
        <f t="shared" si="102"/>
        <v>1410</v>
      </c>
      <c r="DG215" s="491"/>
      <c r="DH215" s="492">
        <f t="shared" si="103"/>
        <v>1410</v>
      </c>
      <c r="DU215" s="158"/>
      <c r="EG215" s="157"/>
    </row>
    <row r="216" spans="12:137" x14ac:dyDescent="0.2">
      <c r="L216" s="54" t="s">
        <v>916</v>
      </c>
      <c r="M216" s="44" t="s">
        <v>1</v>
      </c>
      <c r="N216" s="85" t="s">
        <v>1000</v>
      </c>
      <c r="O216" s="403" t="s">
        <v>195</v>
      </c>
      <c r="AY216" s="209" t="s">
        <v>1705</v>
      </c>
      <c r="AZ216" s="58" t="s">
        <v>156</v>
      </c>
      <c r="BA216" s="131" t="str">
        <f t="shared" si="101"/>
        <v>КД ECO-FIT Plus.I.туннель</v>
      </c>
      <c r="DD216" s="157" t="s">
        <v>1500</v>
      </c>
      <c r="DE216" s="158">
        <v>1760</v>
      </c>
      <c r="DF216" s="490">
        <f t="shared" si="102"/>
        <v>1760</v>
      </c>
      <c r="DG216" s="491"/>
      <c r="DH216" s="492">
        <f t="shared" si="103"/>
        <v>1760</v>
      </c>
      <c r="DU216" s="158"/>
      <c r="EG216" s="157"/>
    </row>
    <row r="217" spans="12:137" x14ac:dyDescent="0.2">
      <c r="L217" s="54" t="s">
        <v>917</v>
      </c>
      <c r="M217" s="44" t="s">
        <v>2</v>
      </c>
      <c r="N217" s="85" t="s">
        <v>1001</v>
      </c>
      <c r="O217" s="403"/>
      <c r="AY217" s="234"/>
      <c r="AZ217" s="129"/>
      <c r="BA217" s="225"/>
      <c r="DD217" s="157" t="s">
        <v>570</v>
      </c>
      <c r="DE217" s="158">
        <v>1520</v>
      </c>
      <c r="DF217" s="490">
        <f t="shared" si="102"/>
        <v>1520</v>
      </c>
      <c r="DG217" s="491"/>
      <c r="DH217" s="492">
        <f t="shared" si="103"/>
        <v>1520</v>
      </c>
      <c r="DU217" s="158"/>
      <c r="EG217" s="157"/>
    </row>
    <row r="218" spans="12:137" x14ac:dyDescent="0.2">
      <c r="L218" s="54" t="s">
        <v>918</v>
      </c>
      <c r="M218" s="44" t="s">
        <v>92</v>
      </c>
      <c r="N218" s="85" t="s">
        <v>1002</v>
      </c>
      <c r="O218" s="403"/>
      <c r="AY218" s="220" t="s">
        <v>451</v>
      </c>
      <c r="AZ218" s="129" t="s">
        <v>115</v>
      </c>
      <c r="BA218" s="130" t="str">
        <f t="shared" si="98"/>
        <v>РС ECO-SLIDE.1.стандарт,</v>
      </c>
      <c r="DD218" s="157" t="s">
        <v>1501</v>
      </c>
      <c r="DE218" s="158">
        <v>1900</v>
      </c>
      <c r="DF218" s="490">
        <f t="shared" si="102"/>
        <v>1900</v>
      </c>
      <c r="DG218" s="491"/>
      <c r="DH218" s="492">
        <f t="shared" si="103"/>
        <v>1900</v>
      </c>
      <c r="DU218" s="158"/>
      <c r="EG218" s="157"/>
    </row>
    <row r="219" spans="12:137" x14ac:dyDescent="0.2">
      <c r="L219" s="54"/>
      <c r="M219" s="44"/>
      <c r="N219" s="85"/>
      <c r="O219" s="403"/>
      <c r="AY219" s="212"/>
      <c r="AZ219" s="207"/>
      <c r="BA219" s="208"/>
      <c r="DD219" s="157" t="s">
        <v>571</v>
      </c>
      <c r="DE219" s="158">
        <v>1610</v>
      </c>
      <c r="DF219" s="490">
        <f t="shared" si="102"/>
        <v>1610</v>
      </c>
      <c r="DG219" s="491"/>
      <c r="DH219" s="492">
        <f t="shared" si="103"/>
        <v>1610</v>
      </c>
      <c r="DU219" s="158"/>
      <c r="EG219" s="157"/>
    </row>
    <row r="220" spans="12:137" x14ac:dyDescent="0.2">
      <c r="L220" s="45"/>
      <c r="M220" s="44"/>
      <c r="N220" s="85"/>
      <c r="O220" s="652"/>
      <c r="AY220" s="51" t="s">
        <v>452</v>
      </c>
      <c r="AZ220" s="660" t="s">
        <v>36</v>
      </c>
      <c r="BA220" s="66" t="str">
        <f t="shared" si="98"/>
        <v>ФР ECO-FIT.A.стандарт</v>
      </c>
      <c r="DD220" s="157" t="s">
        <v>1502</v>
      </c>
      <c r="DE220" s="158">
        <v>2010</v>
      </c>
      <c r="DF220" s="490">
        <f t="shared" si="102"/>
        <v>2010</v>
      </c>
      <c r="DG220" s="491"/>
      <c r="DH220" s="492">
        <f t="shared" si="103"/>
        <v>2010</v>
      </c>
      <c r="DU220" s="158"/>
      <c r="EG220" s="157"/>
    </row>
    <row r="221" spans="12:137" x14ac:dyDescent="0.2">
      <c r="L221" s="45"/>
      <c r="M221" s="44"/>
      <c r="N221" s="85"/>
      <c r="P221" s="20"/>
      <c r="AY221" s="51" t="s">
        <v>453</v>
      </c>
      <c r="AZ221" s="660" t="s">
        <v>36</v>
      </c>
      <c r="BA221" s="66" t="str">
        <f t="shared" si="98"/>
        <v>ФР ECO-FIT.B.стандарт</v>
      </c>
      <c r="DD221" s="157" t="s">
        <v>572</v>
      </c>
      <c r="DE221" s="158">
        <v>1710</v>
      </c>
      <c r="DF221" s="490">
        <f t="shared" si="102"/>
        <v>1710</v>
      </c>
      <c r="DG221" s="491"/>
      <c r="DH221" s="492">
        <f t="shared" si="103"/>
        <v>1710</v>
      </c>
      <c r="DU221" s="158"/>
      <c r="EG221" s="157"/>
    </row>
    <row r="222" spans="12:137" x14ac:dyDescent="0.2">
      <c r="L222" s="528"/>
      <c r="M222" s="521"/>
      <c r="N222" s="521"/>
      <c r="AY222" s="51" t="s">
        <v>454</v>
      </c>
      <c r="AZ222" s="660" t="s">
        <v>36</v>
      </c>
      <c r="BA222" s="66" t="str">
        <f t="shared" si="98"/>
        <v>ФР ECO-FIT.B+.стандарт</v>
      </c>
      <c r="DD222" s="157" t="s">
        <v>1503</v>
      </c>
      <c r="DE222" s="158">
        <v>2160</v>
      </c>
      <c r="DF222" s="490">
        <f t="shared" si="102"/>
        <v>2160</v>
      </c>
      <c r="DG222" s="491"/>
      <c r="DH222" s="492">
        <f t="shared" si="103"/>
        <v>2160</v>
      </c>
      <c r="DU222" s="158"/>
      <c r="EG222" s="157"/>
    </row>
    <row r="223" spans="12:137" x14ac:dyDescent="0.2">
      <c r="AY223" s="51" t="s">
        <v>455</v>
      </c>
      <c r="AZ223" s="660" t="s">
        <v>36</v>
      </c>
      <c r="BA223" s="66" t="str">
        <f t="shared" si="98"/>
        <v>ФР ECO-FIT.C.стандарт</v>
      </c>
      <c r="DD223" s="157" t="s">
        <v>573</v>
      </c>
      <c r="DE223" s="158">
        <v>1810</v>
      </c>
      <c r="DF223" s="490">
        <f t="shared" si="102"/>
        <v>1810</v>
      </c>
      <c r="DG223" s="491"/>
      <c r="DH223" s="492">
        <f t="shared" si="103"/>
        <v>1810</v>
      </c>
      <c r="DU223" s="158"/>
      <c r="EG223" s="157"/>
    </row>
    <row r="224" spans="12:137" x14ac:dyDescent="0.2">
      <c r="AY224" s="51" t="s">
        <v>456</v>
      </c>
      <c r="AZ224" s="660" t="s">
        <v>36</v>
      </c>
      <c r="BA224" s="66" t="str">
        <f t="shared" si="98"/>
        <v>ФР ECO-FIT.D.стандарт</v>
      </c>
      <c r="DD224" s="157" t="s">
        <v>1504</v>
      </c>
      <c r="DE224" s="158">
        <v>2280</v>
      </c>
      <c r="DF224" s="490">
        <f t="shared" si="102"/>
        <v>2280</v>
      </c>
      <c r="DG224" s="491"/>
      <c r="DH224" s="492">
        <f t="shared" si="103"/>
        <v>2280</v>
      </c>
      <c r="DU224" s="158"/>
      <c r="EG224" s="157"/>
    </row>
    <row r="225" spans="16:137" x14ac:dyDescent="0.2">
      <c r="AY225" s="51" t="s">
        <v>457</v>
      </c>
      <c r="AZ225" s="660" t="s">
        <v>36</v>
      </c>
      <c r="BA225" s="66" t="str">
        <f t="shared" si="98"/>
        <v>ФР ECO-FIT.E.стандарт</v>
      </c>
      <c r="DD225" s="157" t="s">
        <v>574</v>
      </c>
      <c r="DE225" s="158">
        <v>1910</v>
      </c>
      <c r="DF225" s="490">
        <f t="shared" si="102"/>
        <v>1910</v>
      </c>
      <c r="DG225" s="491"/>
      <c r="DH225" s="492">
        <f t="shared" si="103"/>
        <v>1910</v>
      </c>
      <c r="DU225" s="158"/>
      <c r="EG225" s="157"/>
    </row>
    <row r="226" spans="16:137" x14ac:dyDescent="0.2">
      <c r="AY226" s="51" t="s">
        <v>458</v>
      </c>
      <c r="AZ226" s="660" t="s">
        <v>36</v>
      </c>
      <c r="BA226" s="66" t="str">
        <f t="shared" si="98"/>
        <v>ФР ECO-FIT.F.стандарт</v>
      </c>
      <c r="DD226" s="157" t="s">
        <v>1505</v>
      </c>
      <c r="DE226" s="158">
        <v>2400</v>
      </c>
      <c r="DF226" s="490">
        <f t="shared" si="102"/>
        <v>2400</v>
      </c>
      <c r="DG226" s="491"/>
      <c r="DH226" s="492">
        <f t="shared" si="103"/>
        <v>2400</v>
      </c>
      <c r="DU226" s="158"/>
      <c r="EG226" s="157"/>
    </row>
    <row r="227" spans="16:137" x14ac:dyDescent="0.2">
      <c r="AY227" s="51" t="s">
        <v>459</v>
      </c>
      <c r="AZ227" s="660" t="s">
        <v>36</v>
      </c>
      <c r="BA227" s="66" t="str">
        <f t="shared" si="98"/>
        <v>ФР ECO-FIT.G.стандарт</v>
      </c>
      <c r="DD227" s="595"/>
      <c r="DE227" s="596"/>
      <c r="DF227" s="597"/>
      <c r="DG227" s="598"/>
      <c r="DH227" s="599"/>
      <c r="DU227" s="158"/>
      <c r="EG227" s="157"/>
    </row>
    <row r="228" spans="16:137" x14ac:dyDescent="0.2">
      <c r="AY228" s="51" t="s">
        <v>460</v>
      </c>
      <c r="AZ228" s="660" t="s">
        <v>36</v>
      </c>
      <c r="BA228" s="66" t="str">
        <f t="shared" si="98"/>
        <v>ФР ECO-FIT.H.стандарт</v>
      </c>
      <c r="DD228" s="157"/>
      <c r="DE228" s="158"/>
      <c r="DF228" s="490"/>
      <c r="DG228" s="491"/>
      <c r="DH228" s="492"/>
      <c r="DU228" s="158"/>
      <c r="EG228" s="157"/>
    </row>
    <row r="229" spans="16:137" x14ac:dyDescent="0.2">
      <c r="AY229" s="51" t="s">
        <v>461</v>
      </c>
      <c r="AZ229" s="660" t="s">
        <v>36</v>
      </c>
      <c r="BA229" s="66" t="str">
        <f t="shared" si="98"/>
        <v>ФР ECO-FIT.I.стандарт</v>
      </c>
      <c r="DD229" s="689"/>
      <c r="DE229" s="690"/>
      <c r="DF229" s="691"/>
      <c r="DG229" s="692"/>
      <c r="DH229" s="693"/>
      <c r="DU229" s="158"/>
      <c r="EG229" s="157"/>
    </row>
    <row r="230" spans="16:137" x14ac:dyDescent="0.2">
      <c r="AY230" s="212"/>
      <c r="AZ230" s="207"/>
      <c r="BA230" s="208"/>
      <c r="DD230" s="100" t="s">
        <v>876</v>
      </c>
      <c r="DE230" s="156">
        <v>590</v>
      </c>
      <c r="DF230" s="498">
        <f>ROUND(((DE230-(DE230/6))/$DD$3)*$DE$3,2)</f>
        <v>590</v>
      </c>
      <c r="DG230" s="493"/>
      <c r="DH230" s="494">
        <f>IF(DG230="",DF230,
IF(AND($DE$10&gt;=VLOOKUP(DG230,$DD$5:$DH$9,2,0),$DE$10&lt;=VLOOKUP(DG230,$DD$5:$DH$9,3,0)),
(DF230*(1-VLOOKUP(DG230,$DD$5:$DH$9,4,0))),
DF230))</f>
        <v>590</v>
      </c>
      <c r="DU230" s="158"/>
      <c r="EG230" s="157"/>
    </row>
    <row r="231" spans="16:137" x14ac:dyDescent="0.2">
      <c r="AY231" s="220" t="s">
        <v>873</v>
      </c>
      <c r="AZ231" s="44" t="s">
        <v>307</v>
      </c>
      <c r="BA231" s="130" t="str">
        <f t="shared" si="98"/>
        <v>Лиштва пряма 60мм.комплект,</v>
      </c>
      <c r="DD231" s="100" t="s">
        <v>1506</v>
      </c>
      <c r="DE231" s="156">
        <v>790</v>
      </c>
      <c r="DF231" s="498">
        <f>ROUND(((DE231-(DE231/6))/$DD$3)*$DE$3,2)</f>
        <v>790</v>
      </c>
      <c r="DG231" s="493"/>
      <c r="DH231" s="494">
        <f>IF(DG231="",DF231,
IF(AND($DE$10&gt;=VLOOKUP(DG231,$DD$5:$DH$9,2,0),$DE$10&lt;=VLOOKUP(DG231,$DD$5:$DH$9,3,0)),
(DF231*(1-VLOOKUP(DG231,$DD$5:$DH$9,4,0))),
DF231))</f>
        <v>790</v>
      </c>
      <c r="DU231" s="158"/>
      <c r="EG231" s="157"/>
    </row>
    <row r="232" spans="16:137" x14ac:dyDescent="0.2">
      <c r="P232" s="20"/>
      <c r="AY232" s="220" t="s">
        <v>1709</v>
      </c>
      <c r="AZ232" s="44" t="s">
        <v>307</v>
      </c>
      <c r="BA232" s="130" t="str">
        <f>CONCATENATE(AY232,".",AZ232)</f>
        <v>Лиштва пряма 80мм.комплект,</v>
      </c>
      <c r="DD232" s="100" t="s">
        <v>1714</v>
      </c>
      <c r="DE232" s="156">
        <v>690</v>
      </c>
      <c r="DF232" s="498">
        <f>ROUND(((DE232-(DE232/6))/$DD$3)*$DE$3,2)</f>
        <v>690</v>
      </c>
      <c r="DG232" s="493"/>
      <c r="DH232" s="494">
        <f>IF(DG232="",DF232,
IF(AND($DE$10&gt;=VLOOKUP(DG232,$DD$5:$DH$9,2,0),$DE$10&lt;=VLOOKUP(DG232,$DD$5:$DH$9,3,0)),
(DF232*(1-VLOOKUP(DG232,$DD$5:$DH$9,4,0))),
DF232))</f>
        <v>690</v>
      </c>
      <c r="DU232" s="158"/>
      <c r="EG232" s="157"/>
    </row>
    <row r="233" spans="16:137" x14ac:dyDescent="0.2">
      <c r="AY233" s="212"/>
      <c r="AZ233" s="207"/>
      <c r="BA233" s="208"/>
      <c r="DD233" s="100" t="s">
        <v>1715</v>
      </c>
      <c r="DE233" s="156">
        <v>980</v>
      </c>
      <c r="DF233" s="498">
        <f>ROUND(((DE233-(DE233/6))/$DD$3)*$DE$3,2)</f>
        <v>980</v>
      </c>
      <c r="DG233" s="493"/>
      <c r="DH233" s="494">
        <f>IF(DG233="",DF233,
IF(AND($DE$10&gt;=VLOOKUP(DG233,$DD$5:$DH$9,2,0),$DE$10&lt;=VLOOKUP(DG233,$DD$5:$DH$9,3,0)),
(DF233*(1-VLOOKUP(DG233,$DD$5:$DH$9,4,0))),
DF233))</f>
        <v>980</v>
      </c>
      <c r="DU233" s="158"/>
      <c r="EG233" s="157"/>
    </row>
    <row r="234" spans="16:137" x14ac:dyDescent="0.2">
      <c r="AY234" s="51" t="s">
        <v>877</v>
      </c>
      <c r="AZ234" s="44" t="s">
        <v>307</v>
      </c>
      <c r="BA234" s="66" t="str">
        <f t="shared" si="98"/>
        <v>Добірна планка 60мм.комплект,</v>
      </c>
      <c r="DD234" s="694"/>
      <c r="DE234" s="695"/>
      <c r="DF234" s="696"/>
      <c r="DG234" s="697"/>
      <c r="DH234" s="698"/>
      <c r="DU234" s="158"/>
      <c r="EG234" s="157"/>
    </row>
    <row r="235" spans="16:137" x14ac:dyDescent="0.2">
      <c r="AY235" s="51" t="s">
        <v>878</v>
      </c>
      <c r="AZ235" s="44" t="s">
        <v>307</v>
      </c>
      <c r="BA235" s="66" t="str">
        <f t="shared" si="98"/>
        <v>Добірна планка 110мм.комплект,</v>
      </c>
      <c r="DD235" s="56" t="s">
        <v>886</v>
      </c>
      <c r="DE235" s="97">
        <v>590</v>
      </c>
      <c r="DF235" s="503">
        <f t="shared" ref="DF235:DF240" si="104">ROUND(((DE235-(DE235/6))/$DD$3)*$DE$3,2)</f>
        <v>590</v>
      </c>
      <c r="DG235" s="487"/>
      <c r="DH235" s="486">
        <f t="shared" ref="DH235:DH240" si="105">IF(DG235="",DF235,
IF(AND($DE$10&gt;=VLOOKUP(DG235,$DD$5:$DH$9,2,0),$DE$10&lt;=VLOOKUP(DG235,$DD$5:$DH$9,3,0)),
(DF235*(1-VLOOKUP(DG235,$DD$5:$DH$9,4,0))),
DF235))</f>
        <v>590</v>
      </c>
      <c r="DU235" s="158"/>
      <c r="EG235" s="157"/>
    </row>
    <row r="236" spans="16:137" x14ac:dyDescent="0.2">
      <c r="AY236" s="51" t="s">
        <v>879</v>
      </c>
      <c r="AZ236" s="44" t="s">
        <v>307</v>
      </c>
      <c r="BA236" s="66" t="str">
        <f t="shared" si="98"/>
        <v>Добірна планка 200мм.комплект,</v>
      </c>
      <c r="DD236" s="56" t="s">
        <v>1507</v>
      </c>
      <c r="DE236" s="97">
        <v>790</v>
      </c>
      <c r="DF236" s="503">
        <f t="shared" si="104"/>
        <v>790</v>
      </c>
      <c r="DG236" s="487"/>
      <c r="DH236" s="486">
        <f t="shared" si="105"/>
        <v>790</v>
      </c>
      <c r="DU236" s="158"/>
      <c r="EG236" s="157"/>
    </row>
    <row r="237" spans="16:137" x14ac:dyDescent="0.2">
      <c r="AY237" s="212"/>
      <c r="AZ237" s="207"/>
      <c r="BA237" s="208"/>
      <c r="DD237" s="56" t="s">
        <v>887</v>
      </c>
      <c r="DE237" s="97">
        <v>910</v>
      </c>
      <c r="DF237" s="503">
        <f t="shared" si="104"/>
        <v>910</v>
      </c>
      <c r="DG237" s="487"/>
      <c r="DH237" s="486">
        <f t="shared" si="105"/>
        <v>910</v>
      </c>
      <c r="DU237" s="158"/>
      <c r="EG237" s="157"/>
    </row>
    <row r="238" spans="16:137" x14ac:dyDescent="0.2">
      <c r="AY238" s="514" t="s">
        <v>1418</v>
      </c>
      <c r="AZ238" s="44" t="s">
        <v>299</v>
      </c>
      <c r="BA238" s="66" t="str">
        <f>CONCATENATE(AY238,".",AZ238)</f>
        <v>Плінтус 60мм (від 8 шт).шт.</v>
      </c>
      <c r="DD238" s="56" t="s">
        <v>1508</v>
      </c>
      <c r="DE238" s="97">
        <v>1200</v>
      </c>
      <c r="DF238" s="503">
        <f t="shared" si="104"/>
        <v>1200</v>
      </c>
      <c r="DG238" s="487"/>
      <c r="DH238" s="486">
        <f t="shared" si="105"/>
        <v>1200</v>
      </c>
      <c r="DU238" s="158"/>
      <c r="EG238" s="157"/>
    </row>
    <row r="239" spans="16:137" ht="10.8" thickBot="1" x14ac:dyDescent="0.25">
      <c r="AY239" s="515" t="s">
        <v>1414</v>
      </c>
      <c r="AZ239" s="44" t="s">
        <v>299</v>
      </c>
      <c r="BA239" s="66" t="str">
        <f t="shared" si="98"/>
        <v>Плінтус 80мм (від 8 шт).шт.</v>
      </c>
      <c r="DD239" s="56" t="s">
        <v>888</v>
      </c>
      <c r="DE239" s="97">
        <v>1770</v>
      </c>
      <c r="DF239" s="503">
        <f t="shared" si="104"/>
        <v>1770</v>
      </c>
      <c r="DG239" s="487"/>
      <c r="DH239" s="486">
        <f t="shared" si="105"/>
        <v>1770</v>
      </c>
      <c r="DU239" s="158"/>
      <c r="EG239" s="157"/>
    </row>
    <row r="240" spans="16:137" x14ac:dyDescent="0.2">
      <c r="AY240" s="212"/>
      <c r="AZ240" s="207"/>
      <c r="BA240" s="208"/>
      <c r="DD240" s="56" t="s">
        <v>1509</v>
      </c>
      <c r="DE240" s="97">
        <v>2420</v>
      </c>
      <c r="DF240" s="503">
        <f t="shared" si="104"/>
        <v>2420</v>
      </c>
      <c r="DG240" s="487"/>
      <c r="DH240" s="486">
        <f t="shared" si="105"/>
        <v>2420</v>
      </c>
      <c r="DU240" s="158"/>
      <c r="EG240" s="157"/>
    </row>
    <row r="241" spans="51:137" x14ac:dyDescent="0.2">
      <c r="AY241" s="51" t="s">
        <v>370</v>
      </c>
      <c r="AZ241" s="44" t="s">
        <v>118</v>
      </c>
      <c r="BA241" s="66" t="str">
        <f>CONCATENATE(AY241,".",AZ241)</f>
        <v>Планка ECO-FIT 80мм.комплект</v>
      </c>
      <c r="DD241" s="694"/>
      <c r="DE241" s="695"/>
      <c r="DF241" s="696"/>
      <c r="DG241" s="697"/>
      <c r="DH241" s="698"/>
      <c r="DU241" s="158"/>
      <c r="EG241" s="157"/>
    </row>
    <row r="242" spans="51:137" x14ac:dyDescent="0.2">
      <c r="AY242" s="51" t="s">
        <v>371</v>
      </c>
      <c r="AZ242" s="44" t="s">
        <v>118</v>
      </c>
      <c r="BA242" s="66" t="str">
        <f>CONCATENATE(AY242,".",AZ242)</f>
        <v>Планка ECO-FIT 160мм.комплект</v>
      </c>
      <c r="DD242" s="56" t="s">
        <v>575</v>
      </c>
      <c r="DE242" s="97">
        <v>1220</v>
      </c>
      <c r="DF242" s="503">
        <f t="shared" ref="DF242:DF302" si="106">ROUND(((DE242-(DE242/6))/$DD$3)*$DE$3,2)</f>
        <v>1220</v>
      </c>
      <c r="DG242" s="487"/>
      <c r="DH242" s="486">
        <f t="shared" ref="DH242:DH302" si="107">IF(DG242="",DF242,
IF(AND($DE$10&gt;=VLOOKUP(DG242,$DD$5:$DH$9,2,0),$DE$10&lt;=VLOOKUP(DG242,$DD$5:$DH$9,3,0)),
(DF242*(1-VLOOKUP(DG242,$DD$5:$DH$9,4,0))),
DF242))</f>
        <v>1220</v>
      </c>
      <c r="DU242" s="158"/>
      <c r="EG242" s="157"/>
    </row>
    <row r="243" spans="51:137" x14ac:dyDescent="0.2">
      <c r="AY243" s="51" t="s">
        <v>372</v>
      </c>
      <c r="AZ243" s="44" t="s">
        <v>118</v>
      </c>
      <c r="BA243" s="66" t="str">
        <f>CONCATENATE(AY243,".",AZ243)</f>
        <v>Планка ECO-FIT 200мм.комплект</v>
      </c>
      <c r="DD243" s="56" t="s">
        <v>1510</v>
      </c>
      <c r="DE243" s="97">
        <v>1480</v>
      </c>
      <c r="DF243" s="503">
        <f>ROUND(((DE243-(DE243/6))/$DD$3)*$DE$3,2)</f>
        <v>1480</v>
      </c>
      <c r="DG243" s="487"/>
      <c r="DH243" s="486">
        <f>IF(DG243="",DF243,
IF(AND($DE$10&gt;=VLOOKUP(DG243,$DD$5:$DH$9,2,0),$DE$10&lt;=VLOOKUP(DG243,$DD$5:$DH$9,3,0)),
(DF243*(1-VLOOKUP(DG243,$DD$5:$DH$9,4,0))),
DF243))</f>
        <v>1480</v>
      </c>
      <c r="DU243" s="158"/>
      <c r="EG243" s="157"/>
    </row>
    <row r="244" spans="51:137" x14ac:dyDescent="0.2">
      <c r="AY244" s="212"/>
      <c r="AZ244" s="207"/>
      <c r="BA244" s="208"/>
      <c r="DD244" s="56" t="s">
        <v>576</v>
      </c>
      <c r="DE244" s="97">
        <v>2080</v>
      </c>
      <c r="DF244" s="503">
        <f t="shared" si="106"/>
        <v>2080</v>
      </c>
      <c r="DG244" s="487"/>
      <c r="DH244" s="486">
        <f t="shared" si="107"/>
        <v>2080</v>
      </c>
      <c r="DU244" s="158"/>
      <c r="EG244" s="157"/>
    </row>
    <row r="245" spans="51:137" x14ac:dyDescent="0.2">
      <c r="AY245" s="44"/>
      <c r="AZ245" s="44"/>
      <c r="BA245" s="44"/>
      <c r="DD245" s="56" t="s">
        <v>1511</v>
      </c>
      <c r="DE245" s="97">
        <v>2560</v>
      </c>
      <c r="DF245" s="503">
        <f>ROUND(((DE245-(DE245/6))/$DD$3)*$DE$3,2)</f>
        <v>2560</v>
      </c>
      <c r="DG245" s="487"/>
      <c r="DH245" s="486">
        <f>IF(DG245="",DF245,
IF(AND($DE$10&gt;=VLOOKUP(DG245,$DD$5:$DH$9,2,0),$DE$10&lt;=VLOOKUP(DG245,$DD$5:$DH$9,3,0)),
(DF245*(1-VLOOKUP(DG245,$DD$5:$DH$9,4,0))),
DF245))</f>
        <v>2560</v>
      </c>
      <c r="DU245" s="158"/>
      <c r="EG245" s="157"/>
    </row>
    <row r="246" spans="51:137" x14ac:dyDescent="0.2">
      <c r="AY246" s="44"/>
      <c r="AZ246" s="44"/>
      <c r="BA246" s="44"/>
      <c r="DD246" s="56" t="s">
        <v>577</v>
      </c>
      <c r="DE246" s="97">
        <v>2530</v>
      </c>
      <c r="DF246" s="503">
        <f t="shared" si="106"/>
        <v>2530</v>
      </c>
      <c r="DG246" s="487"/>
      <c r="DH246" s="486">
        <f t="shared" si="107"/>
        <v>2530</v>
      </c>
      <c r="DU246" s="158"/>
      <c r="EG246" s="157"/>
    </row>
    <row r="247" spans="51:137" x14ac:dyDescent="0.2">
      <c r="AY247" s="44"/>
      <c r="AZ247" s="44"/>
      <c r="BA247" s="44"/>
      <c r="DD247" s="56" t="s">
        <v>1512</v>
      </c>
      <c r="DE247" s="97">
        <v>3140</v>
      </c>
      <c r="DF247" s="503">
        <f>ROUND(((DE247-(DE247/6))/$DD$3)*$DE$3,2)</f>
        <v>3140</v>
      </c>
      <c r="DG247" s="487"/>
      <c r="DH247" s="486">
        <f>IF(DG247="",DF247,
IF(AND($DE$10&gt;=VLOOKUP(DG247,$DD$5:$DH$9,2,0),$DE$10&lt;=VLOOKUP(DG247,$DD$5:$DH$9,3,0)),
(DF247*(1-VLOOKUP(DG247,$DD$5:$DH$9,4,0))),
DF247))</f>
        <v>3140</v>
      </c>
      <c r="DU247" s="158"/>
      <c r="EG247" s="157"/>
    </row>
    <row r="248" spans="51:137" x14ac:dyDescent="0.2">
      <c r="AY248" s="44"/>
      <c r="AZ248" s="44"/>
      <c r="BA248" s="44"/>
      <c r="DD248" s="694"/>
      <c r="DE248" s="695"/>
      <c r="DF248" s="696"/>
      <c r="DG248" s="697"/>
      <c r="DH248" s="698"/>
      <c r="DU248" s="158"/>
      <c r="EG248" s="157"/>
    </row>
    <row r="249" spans="51:137" x14ac:dyDescent="0.2">
      <c r="AY249" s="521"/>
      <c r="AZ249" s="521"/>
      <c r="BA249" s="521"/>
      <c r="DD249" s="56" t="s">
        <v>1421</v>
      </c>
      <c r="DE249" s="97">
        <v>370</v>
      </c>
      <c r="DF249" s="503">
        <f t="shared" si="106"/>
        <v>370</v>
      </c>
      <c r="DG249" s="487"/>
      <c r="DH249" s="486">
        <f t="shared" si="107"/>
        <v>370</v>
      </c>
      <c r="DU249" s="158"/>
      <c r="EG249" s="157"/>
    </row>
    <row r="250" spans="51:137" x14ac:dyDescent="0.2">
      <c r="DD250" s="56" t="s">
        <v>1513</v>
      </c>
      <c r="DE250" s="97">
        <v>470</v>
      </c>
      <c r="DF250" s="503">
        <f>ROUND(((DE250-(DE250/6))/$DD$3)*$DE$3,2)</f>
        <v>470</v>
      </c>
      <c r="DG250" s="487"/>
      <c r="DH250" s="486">
        <f>IF(DG250="",DF250,
IF(AND($DE$10&gt;=VLOOKUP(DG250,$DD$5:$DH$9,2,0),$DE$10&lt;=VLOOKUP(DG250,$DD$5:$DH$9,3,0)),
(DF250*(1-VLOOKUP(DG250,$DD$5:$DH$9,4,0))),
DF250))</f>
        <v>470</v>
      </c>
      <c r="DU250" s="158"/>
      <c r="EG250" s="157"/>
    </row>
    <row r="251" spans="51:137" x14ac:dyDescent="0.2">
      <c r="DD251" s="56" t="s">
        <v>1417</v>
      </c>
      <c r="DE251" s="97">
        <v>410</v>
      </c>
      <c r="DF251" s="503">
        <f t="shared" si="106"/>
        <v>410</v>
      </c>
      <c r="DG251" s="487"/>
      <c r="DH251" s="486">
        <f t="shared" si="107"/>
        <v>410</v>
      </c>
      <c r="DU251" s="158"/>
      <c r="EG251" s="157"/>
    </row>
    <row r="252" spans="51:137" x14ac:dyDescent="0.2">
      <c r="DD252" s="56" t="s">
        <v>1514</v>
      </c>
      <c r="DE252" s="97">
        <v>520</v>
      </c>
      <c r="DF252" s="503">
        <f>ROUND(((DE252-(DE252/6))/$DD$3)*$DE$3,2)</f>
        <v>520</v>
      </c>
      <c r="DG252" s="487"/>
      <c r="DH252" s="486">
        <f>IF(DG252="",DF252,
IF(AND($DE$10&gt;=VLOOKUP(DG252,$DD$5:$DH$9,2,0),$DE$10&lt;=VLOOKUP(DG252,$DD$5:$DH$9,3,0)),
(DF252*(1-VLOOKUP(DG252,$DD$5:$DH$9,4,0))),
DF252))</f>
        <v>520</v>
      </c>
      <c r="DU252" s="158"/>
      <c r="EG252" s="157"/>
    </row>
    <row r="253" spans="51:137" x14ac:dyDescent="0.2">
      <c r="DD253" s="694"/>
      <c r="DE253" s="695"/>
      <c r="DF253" s="696"/>
      <c r="DG253" s="697"/>
      <c r="DH253" s="698"/>
      <c r="DU253" s="158"/>
      <c r="EG253" s="157"/>
    </row>
    <row r="254" spans="51:137" x14ac:dyDescent="0.2">
      <c r="DD254" s="56" t="s">
        <v>904</v>
      </c>
      <c r="DE254" s="97">
        <v>630</v>
      </c>
      <c r="DF254" s="503">
        <f>ROUND(((DE254-(DE254/6))/$DD$3)*$DE$3,2)</f>
        <v>630</v>
      </c>
      <c r="DG254" s="487"/>
      <c r="DH254" s="486">
        <f>IF(DG254="",DF254,
IF(AND($DE$10&gt;=VLOOKUP(DG254,$DD$5:$DH$9,2,0),$DE$10&lt;=VLOOKUP(DG254,$DD$5:$DH$9,3,0)),
(DF254*(1-VLOOKUP(DG254,$DD$5:$DH$9,4,0))),
DF254))</f>
        <v>630</v>
      </c>
      <c r="DU254" s="158"/>
      <c r="EG254" s="157"/>
    </row>
    <row r="255" spans="51:137" x14ac:dyDescent="0.2">
      <c r="DD255" s="56" t="s">
        <v>1515</v>
      </c>
      <c r="DE255" s="97">
        <v>1260</v>
      </c>
      <c r="DF255" s="503">
        <f>ROUND(((DE255-(DE255/6))/$DD$3)*$DE$3,2)</f>
        <v>1260</v>
      </c>
      <c r="DG255" s="487"/>
      <c r="DH255" s="486">
        <f>IF(DG255="",DF255,
IF(AND($DE$10&gt;=VLOOKUP(DG255,$DD$5:$DH$9,2,0),$DE$10&lt;=VLOOKUP(DG255,$DD$5:$DH$9,3,0)),
(DF255*(1-VLOOKUP(DG255,$DD$5:$DH$9,4,0))),
DF255))</f>
        <v>1260</v>
      </c>
      <c r="DU255" s="158"/>
      <c r="EG255" s="157"/>
    </row>
    <row r="256" spans="51:137" x14ac:dyDescent="0.2">
      <c r="DD256" s="694"/>
      <c r="DE256" s="695"/>
      <c r="DF256" s="696"/>
      <c r="DG256" s="697"/>
      <c r="DH256" s="698"/>
      <c r="DU256" s="158"/>
      <c r="EG256" s="157"/>
    </row>
    <row r="257" spans="108:137" x14ac:dyDescent="0.2">
      <c r="DD257" s="56"/>
      <c r="DE257" s="97"/>
      <c r="DF257" s="503"/>
      <c r="DG257" s="487"/>
      <c r="DH257" s="486"/>
      <c r="DU257" s="158"/>
      <c r="EG257" s="157"/>
    </row>
    <row r="258" spans="108:137" x14ac:dyDescent="0.2">
      <c r="DD258" s="699"/>
      <c r="DE258" s="700"/>
      <c r="DF258" s="701"/>
      <c r="DG258" s="702"/>
      <c r="DH258" s="703"/>
      <c r="DU258" s="158"/>
      <c r="EG258" s="157"/>
    </row>
    <row r="259" spans="108:137" x14ac:dyDescent="0.2">
      <c r="DD259" s="56"/>
      <c r="DE259" s="97"/>
      <c r="DF259" s="503"/>
      <c r="DG259" s="487"/>
      <c r="DH259" s="486"/>
      <c r="DU259" s="158"/>
      <c r="EG259" s="157"/>
    </row>
    <row r="260" spans="108:137" x14ac:dyDescent="0.2">
      <c r="DD260" s="56" t="s">
        <v>891</v>
      </c>
      <c r="DE260" s="97">
        <v>140</v>
      </c>
      <c r="DF260" s="503">
        <f t="shared" si="106"/>
        <v>140</v>
      </c>
      <c r="DG260" s="487"/>
      <c r="DH260" s="486">
        <f t="shared" si="107"/>
        <v>140</v>
      </c>
      <c r="DU260" s="158"/>
      <c r="EG260" s="157"/>
    </row>
    <row r="261" spans="108:137" x14ac:dyDescent="0.2">
      <c r="DD261" s="694"/>
      <c r="DE261" s="695"/>
      <c r="DF261" s="696"/>
      <c r="DG261" s="697"/>
      <c r="DH261" s="698"/>
      <c r="DU261" s="158"/>
      <c r="EG261" s="157"/>
    </row>
    <row r="262" spans="108:137" x14ac:dyDescent="0.2">
      <c r="DD262" s="56" t="s">
        <v>12</v>
      </c>
      <c r="DE262" s="97">
        <v>4250</v>
      </c>
      <c r="DF262" s="503">
        <f t="shared" si="106"/>
        <v>4250</v>
      </c>
      <c r="DG262" s="487"/>
      <c r="DH262" s="486">
        <f t="shared" si="107"/>
        <v>4250</v>
      </c>
      <c r="DU262" s="158"/>
      <c r="EG262" s="157"/>
    </row>
    <row r="263" spans="108:137" x14ac:dyDescent="0.2">
      <c r="DD263" s="56" t="s">
        <v>894</v>
      </c>
      <c r="DE263" s="97">
        <v>4250</v>
      </c>
      <c r="DF263" s="503">
        <f t="shared" si="106"/>
        <v>4250</v>
      </c>
      <c r="DG263" s="487"/>
      <c r="DH263" s="486">
        <f t="shared" si="107"/>
        <v>4250</v>
      </c>
      <c r="DU263" s="158"/>
      <c r="EG263" s="157"/>
    </row>
    <row r="264" spans="108:137" x14ac:dyDescent="0.2">
      <c r="DD264" s="56" t="s">
        <v>13</v>
      </c>
      <c r="DE264" s="97">
        <v>4250</v>
      </c>
      <c r="DF264" s="503">
        <f t="shared" si="106"/>
        <v>4250</v>
      </c>
      <c r="DG264" s="487"/>
      <c r="DH264" s="486">
        <f t="shared" si="107"/>
        <v>4250</v>
      </c>
      <c r="DU264" s="158"/>
      <c r="EG264" s="157"/>
    </row>
    <row r="265" spans="108:137" x14ac:dyDescent="0.2">
      <c r="DD265" s="56" t="s">
        <v>895</v>
      </c>
      <c r="DE265" s="97">
        <v>4250</v>
      </c>
      <c r="DF265" s="503">
        <f t="shared" si="106"/>
        <v>4250</v>
      </c>
      <c r="DG265" s="487"/>
      <c r="DH265" s="486">
        <f t="shared" si="107"/>
        <v>4250</v>
      </c>
      <c r="DU265" s="158"/>
      <c r="EG265" s="157"/>
    </row>
    <row r="266" spans="108:137" x14ac:dyDescent="0.2">
      <c r="DD266" s="56" t="s">
        <v>720</v>
      </c>
      <c r="DE266" s="97">
        <v>2070</v>
      </c>
      <c r="DF266" s="503">
        <f t="shared" si="106"/>
        <v>2070</v>
      </c>
      <c r="DG266" s="487"/>
      <c r="DH266" s="486">
        <f t="shared" si="107"/>
        <v>2070</v>
      </c>
      <c r="DU266" s="158"/>
      <c r="EG266" s="157"/>
    </row>
    <row r="267" spans="108:137" x14ac:dyDescent="0.2">
      <c r="DD267" s="56" t="s">
        <v>892</v>
      </c>
      <c r="DE267" s="97">
        <v>2070</v>
      </c>
      <c r="DF267" s="503">
        <f t="shared" si="106"/>
        <v>2070</v>
      </c>
      <c r="DG267" s="487"/>
      <c r="DH267" s="486">
        <f t="shared" si="107"/>
        <v>2070</v>
      </c>
      <c r="DU267" s="158"/>
      <c r="EG267" s="157"/>
    </row>
    <row r="268" spans="108:137" x14ac:dyDescent="0.2">
      <c r="DD268" s="56" t="s">
        <v>893</v>
      </c>
      <c r="DE268" s="97">
        <v>2070</v>
      </c>
      <c r="DF268" s="503">
        <f t="shared" si="106"/>
        <v>2070</v>
      </c>
      <c r="DG268" s="487"/>
      <c r="DH268" s="486">
        <f t="shared" si="107"/>
        <v>2070</v>
      </c>
      <c r="DU268" s="158"/>
      <c r="EG268" s="157"/>
    </row>
    <row r="269" spans="108:137" x14ac:dyDescent="0.2">
      <c r="DD269" s="56" t="s">
        <v>896</v>
      </c>
      <c r="DE269" s="97">
        <v>2070</v>
      </c>
      <c r="DF269" s="503">
        <f t="shared" si="106"/>
        <v>2070</v>
      </c>
      <c r="DG269" s="487"/>
      <c r="DH269" s="486">
        <f t="shared" si="107"/>
        <v>2070</v>
      </c>
      <c r="DU269" s="158"/>
      <c r="EG269" s="157"/>
    </row>
    <row r="270" spans="108:137" x14ac:dyDescent="0.2">
      <c r="DD270" s="56" t="s">
        <v>129</v>
      </c>
      <c r="DE270" s="97">
        <v>990</v>
      </c>
      <c r="DF270" s="503">
        <f t="shared" si="106"/>
        <v>990</v>
      </c>
      <c r="DG270" s="487"/>
      <c r="DH270" s="486">
        <f t="shared" si="107"/>
        <v>990</v>
      </c>
      <c r="DU270" s="158"/>
      <c r="EG270" s="157"/>
    </row>
    <row r="271" spans="108:137" x14ac:dyDescent="0.2">
      <c r="DD271" s="56" t="s">
        <v>897</v>
      </c>
      <c r="DE271" s="97">
        <v>990</v>
      </c>
      <c r="DF271" s="503">
        <f t="shared" si="106"/>
        <v>990</v>
      </c>
      <c r="DG271" s="487"/>
      <c r="DH271" s="486">
        <f t="shared" si="107"/>
        <v>990</v>
      </c>
      <c r="DU271" s="158"/>
      <c r="EG271" s="157"/>
    </row>
    <row r="272" spans="108:137" x14ac:dyDescent="0.2">
      <c r="DD272" s="694"/>
      <c r="DE272" s="695"/>
      <c r="DF272" s="696"/>
      <c r="DG272" s="697"/>
      <c r="DH272" s="698"/>
      <c r="DU272" s="158"/>
      <c r="EG272" s="157"/>
    </row>
    <row r="273" spans="108:137" x14ac:dyDescent="0.2">
      <c r="DD273" s="56" t="s">
        <v>760</v>
      </c>
      <c r="DE273" s="97">
        <v>90</v>
      </c>
      <c r="DF273" s="503">
        <f t="shared" si="106"/>
        <v>90</v>
      </c>
      <c r="DG273" s="487"/>
      <c r="DH273" s="486">
        <f t="shared" si="107"/>
        <v>90</v>
      </c>
      <c r="DU273" s="158"/>
      <c r="EG273" s="157"/>
    </row>
    <row r="274" spans="108:137" x14ac:dyDescent="0.2">
      <c r="DD274" s="56" t="s">
        <v>767</v>
      </c>
      <c r="DE274" s="97">
        <v>90</v>
      </c>
      <c r="DF274" s="503">
        <f t="shared" si="106"/>
        <v>90</v>
      </c>
      <c r="DG274" s="487"/>
      <c r="DH274" s="486">
        <f t="shared" si="107"/>
        <v>90</v>
      </c>
      <c r="DU274" s="158"/>
      <c r="EG274" s="157"/>
    </row>
    <row r="275" spans="108:137" x14ac:dyDescent="0.2">
      <c r="DD275" s="56" t="s">
        <v>768</v>
      </c>
      <c r="DE275" s="97">
        <v>90</v>
      </c>
      <c r="DF275" s="503">
        <f t="shared" si="106"/>
        <v>90</v>
      </c>
      <c r="DG275" s="487"/>
      <c r="DH275" s="486">
        <f t="shared" si="107"/>
        <v>90</v>
      </c>
      <c r="DU275" s="158"/>
      <c r="EG275" s="157"/>
    </row>
    <row r="276" spans="108:137" x14ac:dyDescent="0.2">
      <c r="DD276" s="392" t="s">
        <v>1288</v>
      </c>
      <c r="DE276" s="97">
        <v>90</v>
      </c>
      <c r="DF276" s="503">
        <f t="shared" si="106"/>
        <v>90</v>
      </c>
      <c r="DG276" s="487"/>
      <c r="DH276" s="486">
        <f t="shared" si="107"/>
        <v>90</v>
      </c>
      <c r="DU276" s="158"/>
      <c r="EG276" s="157"/>
    </row>
    <row r="277" spans="108:137" x14ac:dyDescent="0.2">
      <c r="DD277" s="392" t="s">
        <v>1289</v>
      </c>
      <c r="DE277" s="97">
        <v>90</v>
      </c>
      <c r="DF277" s="503">
        <f t="shared" si="106"/>
        <v>90</v>
      </c>
      <c r="DG277" s="487"/>
      <c r="DH277" s="486">
        <f t="shared" si="107"/>
        <v>90</v>
      </c>
      <c r="DU277" s="158"/>
      <c r="EG277" s="157"/>
    </row>
    <row r="278" spans="108:137" x14ac:dyDescent="0.2">
      <c r="DD278" s="694"/>
      <c r="DE278" s="695"/>
      <c r="DF278" s="696"/>
      <c r="DG278" s="697"/>
      <c r="DH278" s="698"/>
      <c r="DU278" s="158"/>
      <c r="EG278" s="157"/>
    </row>
    <row r="279" spans="108:137" x14ac:dyDescent="0.2">
      <c r="DD279" s="56" t="s">
        <v>902</v>
      </c>
      <c r="DE279" s="97">
        <v>230</v>
      </c>
      <c r="DF279" s="503">
        <f t="shared" si="106"/>
        <v>230</v>
      </c>
      <c r="DG279" s="487"/>
      <c r="DH279" s="486">
        <f t="shared" si="107"/>
        <v>230</v>
      </c>
      <c r="DU279" s="158"/>
      <c r="EG279" s="157"/>
    </row>
    <row r="280" spans="108:137" x14ac:dyDescent="0.2">
      <c r="DD280" s="56" t="s">
        <v>725</v>
      </c>
      <c r="DE280" s="97">
        <v>460</v>
      </c>
      <c r="DF280" s="503">
        <f>ROUND(((DE280-(DE280/6))/$DD$3)*$DE$3,2)</f>
        <v>460</v>
      </c>
      <c r="DG280" s="487"/>
      <c r="DH280" s="486">
        <f>IF(DG280="",DF280,
IF(AND($DE$10&gt;=VLOOKUP(DG280,$DD$5:$DH$9,2,0),$DE$10&lt;=VLOOKUP(DG280,$DD$5:$DH$9,3,0)),
(DF280*(1-VLOOKUP(DG280,$DD$5:$DH$9,4,0))),
DF280))</f>
        <v>460</v>
      </c>
      <c r="DU280" s="158"/>
      <c r="EG280" s="157"/>
    </row>
    <row r="281" spans="108:137" x14ac:dyDescent="0.2">
      <c r="DD281" s="56" t="s">
        <v>728</v>
      </c>
      <c r="DE281" s="97">
        <v>460</v>
      </c>
      <c r="DF281" s="503">
        <f>ROUND(((DE281-(DE281/6))/$DD$3)*$DE$3,2)</f>
        <v>460</v>
      </c>
      <c r="DG281" s="487"/>
      <c r="DH281" s="486">
        <f>IF(DG281="",DF281,
IF(AND($DE$10&gt;=VLOOKUP(DG281,$DD$5:$DH$9,2,0),$DE$10&lt;=VLOOKUP(DG281,$DD$5:$DH$9,3,0)),
(DF281*(1-VLOOKUP(DG281,$DD$5:$DH$9,4,0))),
DF281))</f>
        <v>460</v>
      </c>
      <c r="DU281" s="158"/>
      <c r="EG281" s="157"/>
    </row>
    <row r="282" spans="108:137" x14ac:dyDescent="0.2">
      <c r="DD282" s="56" t="s">
        <v>727</v>
      </c>
      <c r="DE282" s="97">
        <v>460</v>
      </c>
      <c r="DF282" s="503">
        <f>ROUND(((DE282-(DE282/6))/$DD$3)*$DE$3,2)</f>
        <v>460</v>
      </c>
      <c r="DG282" s="487"/>
      <c r="DH282" s="486">
        <f>IF(DG282="",DF282,
IF(AND($DE$10&gt;=VLOOKUP(DG282,$DD$5:$DH$9,2,0),$DE$10&lt;=VLOOKUP(DG282,$DD$5:$DH$9,3,0)),
(DF282*(1-VLOOKUP(DG282,$DD$5:$DH$9,4,0))),
DF282))</f>
        <v>460</v>
      </c>
      <c r="DU282" s="158"/>
      <c r="EG282" s="157"/>
    </row>
    <row r="283" spans="108:137" x14ac:dyDescent="0.2">
      <c r="DD283" s="56" t="s">
        <v>898</v>
      </c>
      <c r="DE283" s="97">
        <v>460</v>
      </c>
      <c r="DF283" s="503">
        <f t="shared" si="106"/>
        <v>460</v>
      </c>
      <c r="DG283" s="487"/>
      <c r="DH283" s="486">
        <f t="shared" si="107"/>
        <v>460</v>
      </c>
      <c r="DU283" s="158"/>
      <c r="EG283" s="157"/>
    </row>
    <row r="284" spans="108:137" x14ac:dyDescent="0.2">
      <c r="DD284" s="56" t="s">
        <v>899</v>
      </c>
      <c r="DE284" s="97">
        <v>460</v>
      </c>
      <c r="DF284" s="503">
        <f t="shared" si="106"/>
        <v>460</v>
      </c>
      <c r="DG284" s="487"/>
      <c r="DH284" s="486">
        <f t="shared" si="107"/>
        <v>460</v>
      </c>
      <c r="DU284" s="158"/>
      <c r="EG284" s="157"/>
    </row>
    <row r="285" spans="108:137" x14ac:dyDescent="0.2">
      <c r="DD285" s="56" t="s">
        <v>900</v>
      </c>
      <c r="DE285" s="97">
        <v>460</v>
      </c>
      <c r="DF285" s="503">
        <f t="shared" si="106"/>
        <v>460</v>
      </c>
      <c r="DG285" s="487"/>
      <c r="DH285" s="486">
        <f t="shared" si="107"/>
        <v>460</v>
      </c>
      <c r="DU285" s="158"/>
      <c r="EG285" s="157"/>
    </row>
    <row r="286" spans="108:137" x14ac:dyDescent="0.2">
      <c r="DD286" s="56" t="s">
        <v>901</v>
      </c>
      <c r="DE286" s="97">
        <v>140</v>
      </c>
      <c r="DF286" s="503">
        <f t="shared" si="106"/>
        <v>140</v>
      </c>
      <c r="DG286" s="487"/>
      <c r="DH286" s="486">
        <f t="shared" si="107"/>
        <v>140</v>
      </c>
      <c r="DU286" s="158"/>
      <c r="EG286" s="157"/>
    </row>
    <row r="287" spans="108:137" x14ac:dyDescent="0.2">
      <c r="DD287" s="56" t="s">
        <v>903</v>
      </c>
      <c r="DE287" s="97">
        <v>440</v>
      </c>
      <c r="DF287" s="503">
        <f t="shared" si="106"/>
        <v>440</v>
      </c>
      <c r="DG287" s="487"/>
      <c r="DH287" s="486">
        <f t="shared" si="107"/>
        <v>440</v>
      </c>
      <c r="DU287" s="158"/>
      <c r="EG287" s="157"/>
    </row>
    <row r="288" spans="108:137" x14ac:dyDescent="0.2">
      <c r="DD288" s="694"/>
      <c r="DE288" s="695"/>
      <c r="DF288" s="696"/>
      <c r="DG288" s="697"/>
      <c r="DH288" s="698"/>
      <c r="DU288" s="158"/>
      <c r="EG288" s="157"/>
    </row>
    <row r="289" spans="108:137" x14ac:dyDescent="0.2">
      <c r="DD289" s="56" t="s">
        <v>905</v>
      </c>
      <c r="DE289" s="97">
        <v>2210</v>
      </c>
      <c r="DF289" s="503">
        <f t="shared" si="106"/>
        <v>2210</v>
      </c>
      <c r="DG289" s="487"/>
      <c r="DH289" s="486">
        <f t="shared" si="107"/>
        <v>2210</v>
      </c>
      <c r="DU289" s="158"/>
      <c r="EG289" s="157"/>
    </row>
    <row r="290" spans="108:137" x14ac:dyDescent="0.2">
      <c r="DD290" s="56" t="s">
        <v>906</v>
      </c>
      <c r="DE290" s="97">
        <v>2240</v>
      </c>
      <c r="DF290" s="503">
        <f t="shared" si="106"/>
        <v>2240</v>
      </c>
      <c r="DG290" s="487"/>
      <c r="DH290" s="486">
        <f t="shared" si="107"/>
        <v>2240</v>
      </c>
      <c r="DU290" s="158"/>
      <c r="EG290" s="157"/>
    </row>
    <row r="291" spans="108:137" x14ac:dyDescent="0.2">
      <c r="DD291" s="56" t="s">
        <v>907</v>
      </c>
      <c r="DE291" s="97">
        <v>2470</v>
      </c>
      <c r="DF291" s="503">
        <f t="shared" si="106"/>
        <v>2470</v>
      </c>
      <c r="DG291" s="487"/>
      <c r="DH291" s="486">
        <f t="shared" si="107"/>
        <v>2470</v>
      </c>
      <c r="DU291" s="158"/>
      <c r="EG291" s="157"/>
    </row>
    <row r="292" spans="108:137" x14ac:dyDescent="0.2">
      <c r="DD292" s="56" t="s">
        <v>908</v>
      </c>
      <c r="DE292" s="97">
        <v>2600</v>
      </c>
      <c r="DF292" s="503">
        <f t="shared" si="106"/>
        <v>2600</v>
      </c>
      <c r="DG292" s="487"/>
      <c r="DH292" s="486">
        <f t="shared" si="107"/>
        <v>2600</v>
      </c>
      <c r="DU292" s="158"/>
      <c r="EG292" s="157"/>
    </row>
    <row r="293" spans="108:137" x14ac:dyDescent="0.2">
      <c r="DD293" s="56" t="s">
        <v>909</v>
      </c>
      <c r="DE293" s="97">
        <v>2430</v>
      </c>
      <c r="DF293" s="503">
        <f t="shared" si="106"/>
        <v>2430</v>
      </c>
      <c r="DG293" s="487"/>
      <c r="DH293" s="486">
        <f t="shared" si="107"/>
        <v>2430</v>
      </c>
      <c r="DU293" s="158"/>
      <c r="EG293" s="157"/>
    </row>
    <row r="294" spans="108:137" x14ac:dyDescent="0.2">
      <c r="DD294" s="56" t="s">
        <v>910</v>
      </c>
      <c r="DE294" s="97">
        <v>2730</v>
      </c>
      <c r="DF294" s="503">
        <f t="shared" si="106"/>
        <v>2730</v>
      </c>
      <c r="DG294" s="487"/>
      <c r="DH294" s="486">
        <f t="shared" si="107"/>
        <v>2730</v>
      </c>
      <c r="DU294" s="158"/>
      <c r="EG294" s="157"/>
    </row>
    <row r="295" spans="108:137" x14ac:dyDescent="0.2">
      <c r="DD295" s="56" t="s">
        <v>911</v>
      </c>
      <c r="DE295" s="97">
        <v>2860</v>
      </c>
      <c r="DF295" s="503">
        <f t="shared" si="106"/>
        <v>2860</v>
      </c>
      <c r="DG295" s="487"/>
      <c r="DH295" s="486">
        <f t="shared" si="107"/>
        <v>2860</v>
      </c>
      <c r="DU295" s="158"/>
      <c r="EG295" s="157"/>
    </row>
    <row r="296" spans="108:137" x14ac:dyDescent="0.2">
      <c r="DD296" s="56" t="s">
        <v>912</v>
      </c>
      <c r="DE296" s="97">
        <v>2990</v>
      </c>
      <c r="DF296" s="503">
        <f t="shared" si="106"/>
        <v>2990</v>
      </c>
      <c r="DG296" s="487"/>
      <c r="DH296" s="486">
        <f t="shared" si="107"/>
        <v>2990</v>
      </c>
      <c r="DU296" s="158"/>
      <c r="EG296" s="157"/>
    </row>
    <row r="297" spans="108:137" x14ac:dyDescent="0.2">
      <c r="DD297" s="56" t="s">
        <v>913</v>
      </c>
      <c r="DE297" s="97">
        <v>3120</v>
      </c>
      <c r="DF297" s="503">
        <f t="shared" si="106"/>
        <v>3120</v>
      </c>
      <c r="DG297" s="487"/>
      <c r="DH297" s="486">
        <f t="shared" si="107"/>
        <v>3120</v>
      </c>
      <c r="DU297" s="158"/>
      <c r="EG297" s="157"/>
    </row>
    <row r="298" spans="108:137" x14ac:dyDescent="0.2">
      <c r="DD298" s="56" t="s">
        <v>914</v>
      </c>
      <c r="DE298" s="97">
        <v>3260</v>
      </c>
      <c r="DF298" s="503">
        <f t="shared" si="106"/>
        <v>3260</v>
      </c>
      <c r="DG298" s="487"/>
      <c r="DH298" s="486">
        <f t="shared" si="107"/>
        <v>3260</v>
      </c>
      <c r="DU298" s="158"/>
      <c r="EG298" s="157"/>
    </row>
    <row r="299" spans="108:137" x14ac:dyDescent="0.2">
      <c r="DD299" s="56" t="s">
        <v>915</v>
      </c>
      <c r="DE299" s="97">
        <v>3380</v>
      </c>
      <c r="DF299" s="503">
        <f t="shared" si="106"/>
        <v>3380</v>
      </c>
      <c r="DG299" s="487"/>
      <c r="DH299" s="486">
        <f t="shared" si="107"/>
        <v>3380</v>
      </c>
      <c r="DU299" s="158"/>
      <c r="EG299" s="157"/>
    </row>
    <row r="300" spans="108:137" x14ac:dyDescent="0.2">
      <c r="DD300" s="56" t="s">
        <v>916</v>
      </c>
      <c r="DE300" s="97">
        <v>3500</v>
      </c>
      <c r="DF300" s="503">
        <f t="shared" si="106"/>
        <v>3500</v>
      </c>
      <c r="DG300" s="487"/>
      <c r="DH300" s="486">
        <f t="shared" si="107"/>
        <v>3500</v>
      </c>
      <c r="DU300" s="158"/>
      <c r="EG300" s="157"/>
    </row>
    <row r="301" spans="108:137" x14ac:dyDescent="0.2">
      <c r="DD301" s="56" t="s">
        <v>917</v>
      </c>
      <c r="DE301" s="97">
        <v>3640</v>
      </c>
      <c r="DF301" s="503">
        <f t="shared" si="106"/>
        <v>3640</v>
      </c>
      <c r="DG301" s="487"/>
      <c r="DH301" s="486">
        <f t="shared" si="107"/>
        <v>3640</v>
      </c>
      <c r="DU301" s="158"/>
      <c r="EG301" s="157"/>
    </row>
    <row r="302" spans="108:137" x14ac:dyDescent="0.2">
      <c r="DD302" s="56" t="s">
        <v>918</v>
      </c>
      <c r="DE302" s="97">
        <v>3780</v>
      </c>
      <c r="DF302" s="503">
        <f t="shared" si="106"/>
        <v>3780</v>
      </c>
      <c r="DG302" s="487"/>
      <c r="DH302" s="486">
        <f t="shared" si="107"/>
        <v>3780</v>
      </c>
      <c r="DU302" s="158"/>
      <c r="EG302" s="157"/>
    </row>
    <row r="303" spans="108:137" x14ac:dyDescent="0.2">
      <c r="DD303" s="694"/>
      <c r="DE303" s="695"/>
      <c r="DF303" s="704"/>
      <c r="DG303" s="697"/>
      <c r="DH303" s="698"/>
      <c r="DU303" s="158"/>
      <c r="EG303" s="157"/>
    </row>
    <row r="304" spans="108:137" x14ac:dyDescent="0.2">
      <c r="DD304" s="44"/>
      <c r="DE304" s="44"/>
      <c r="DF304" s="386"/>
      <c r="DG304" s="44"/>
      <c r="DH304" s="44"/>
      <c r="DU304" s="158"/>
      <c r="EG304" s="157"/>
    </row>
    <row r="305" spans="108:137" x14ac:dyDescent="0.2">
      <c r="DD305" s="44"/>
      <c r="DE305" s="44"/>
      <c r="DF305" s="386"/>
      <c r="DG305" s="44"/>
      <c r="DH305" s="44"/>
      <c r="DU305" s="158"/>
      <c r="EG305" s="157"/>
    </row>
    <row r="306" spans="108:137" x14ac:dyDescent="0.2">
      <c r="DD306" s="44"/>
      <c r="DE306" s="44"/>
      <c r="DF306" s="386"/>
      <c r="DG306" s="44"/>
      <c r="DH306" s="44"/>
      <c r="DU306" s="158"/>
      <c r="EG306" s="157"/>
    </row>
    <row r="307" spans="108:137" x14ac:dyDescent="0.2">
      <c r="DD307" s="44"/>
      <c r="DE307" s="44"/>
      <c r="DF307" s="386"/>
      <c r="DG307" s="44"/>
      <c r="DH307" s="44"/>
      <c r="DU307" s="158"/>
      <c r="EG307" s="157"/>
    </row>
    <row r="308" spans="108:137" x14ac:dyDescent="0.2">
      <c r="DD308" s="44"/>
      <c r="DE308" s="44"/>
      <c r="DF308" s="386"/>
      <c r="DG308" s="44"/>
      <c r="DH308" s="44"/>
      <c r="DU308" s="158"/>
      <c r="EG308" s="157"/>
    </row>
    <row r="309" spans="108:137" x14ac:dyDescent="0.2">
      <c r="DD309" s="44"/>
      <c r="DE309" s="44"/>
      <c r="DF309" s="386"/>
      <c r="DG309" s="44"/>
      <c r="DH309" s="44"/>
      <c r="DU309" s="158"/>
      <c r="EG309" s="157"/>
    </row>
    <row r="310" spans="108:137" x14ac:dyDescent="0.2">
      <c r="DD310" s="44"/>
      <c r="DE310" s="44"/>
      <c r="DF310" s="386"/>
      <c r="DG310" s="44"/>
      <c r="DH310" s="44"/>
      <c r="DU310" s="158"/>
      <c r="EG310" s="157"/>
    </row>
    <row r="311" spans="108:137" x14ac:dyDescent="0.2">
      <c r="DD311" s="521"/>
      <c r="DE311" s="521"/>
      <c r="DF311" s="594"/>
      <c r="DG311" s="521"/>
      <c r="DH311" s="521"/>
      <c r="DU311" s="158"/>
      <c r="EG311" s="157"/>
    </row>
    <row r="312" spans="108:137" x14ac:dyDescent="0.2">
      <c r="DU312" s="158"/>
      <c r="EG312" s="157"/>
    </row>
    <row r="313" spans="108:137" x14ac:dyDescent="0.2">
      <c r="DU313" s="158"/>
      <c r="EG313" s="157"/>
    </row>
    <row r="314" spans="108:137" x14ac:dyDescent="0.2">
      <c r="DU314" s="158"/>
      <c r="EG314" s="157"/>
    </row>
    <row r="315" spans="108:137" x14ac:dyDescent="0.2">
      <c r="DU315" s="158"/>
      <c r="EG315" s="157"/>
    </row>
    <row r="316" spans="108:137" x14ac:dyDescent="0.2">
      <c r="DU316" s="158"/>
      <c r="EG316" s="157"/>
    </row>
    <row r="317" spans="108:137" x14ac:dyDescent="0.2">
      <c r="DU317" s="158"/>
      <c r="EG317" s="157"/>
    </row>
    <row r="318" spans="108:137" x14ac:dyDescent="0.2">
      <c r="DU318" s="158"/>
      <c r="EG318" s="157"/>
    </row>
    <row r="319" spans="108:137" x14ac:dyDescent="0.2">
      <c r="DU319" s="158"/>
      <c r="EG319" s="157"/>
    </row>
    <row r="320" spans="108:137" x14ac:dyDescent="0.2">
      <c r="DU320" s="158"/>
      <c r="EG320" s="157"/>
    </row>
    <row r="321" spans="125:137" x14ac:dyDescent="0.2">
      <c r="DU321" s="158"/>
      <c r="EG321" s="157"/>
    </row>
    <row r="322" spans="125:137" x14ac:dyDescent="0.2">
      <c r="DU322" s="158"/>
      <c r="EG322" s="157"/>
    </row>
    <row r="323" spans="125:137" x14ac:dyDescent="0.2">
      <c r="DU323" s="158"/>
      <c r="EG323" s="157"/>
    </row>
    <row r="324" spans="125:137" x14ac:dyDescent="0.2">
      <c r="DU324" s="158"/>
      <c r="EG324" s="157"/>
    </row>
    <row r="325" spans="125:137" x14ac:dyDescent="0.2">
      <c r="DU325" s="158"/>
      <c r="EG325" s="157"/>
    </row>
    <row r="326" spans="125:137" x14ac:dyDescent="0.2">
      <c r="DU326" s="158"/>
      <c r="EG326" s="157"/>
    </row>
    <row r="327" spans="125:137" x14ac:dyDescent="0.2">
      <c r="DU327" s="158"/>
      <c r="EG327" s="157"/>
    </row>
    <row r="328" spans="125:137" x14ac:dyDescent="0.2">
      <c r="DU328" s="158"/>
      <c r="EG328" s="157"/>
    </row>
    <row r="329" spans="125:137" x14ac:dyDescent="0.2">
      <c r="DU329" s="158"/>
      <c r="EG329" s="157"/>
    </row>
    <row r="330" spans="125:137" x14ac:dyDescent="0.2">
      <c r="DU330" s="158"/>
      <c r="EG330" s="157"/>
    </row>
    <row r="331" spans="125:137" x14ac:dyDescent="0.2">
      <c r="DU331" s="158"/>
      <c r="EG331" s="157"/>
    </row>
    <row r="332" spans="125:137" x14ac:dyDescent="0.2">
      <c r="DU332" s="158"/>
      <c r="EG332" s="157"/>
    </row>
    <row r="333" spans="125:137" x14ac:dyDescent="0.2">
      <c r="DU333" s="158"/>
      <c r="EG333" s="157"/>
    </row>
    <row r="334" spans="125:137" x14ac:dyDescent="0.2">
      <c r="DU334" s="158"/>
      <c r="EG334" s="157"/>
    </row>
    <row r="335" spans="125:137" x14ac:dyDescent="0.2">
      <c r="DU335" s="158"/>
      <c r="EG335" s="157"/>
    </row>
    <row r="336" spans="125:137" x14ac:dyDescent="0.2">
      <c r="DU336" s="158"/>
      <c r="EG336" s="157"/>
    </row>
    <row r="337" spans="125:137" x14ac:dyDescent="0.2">
      <c r="DU337" s="158"/>
      <c r="EG337" s="157"/>
    </row>
    <row r="338" spans="125:137" x14ac:dyDescent="0.2">
      <c r="DU338" s="158"/>
      <c r="EG338" s="157"/>
    </row>
    <row r="339" spans="125:137" x14ac:dyDescent="0.2">
      <c r="DU339" s="158"/>
      <c r="EG339" s="157"/>
    </row>
    <row r="340" spans="125:137" x14ac:dyDescent="0.2">
      <c r="DU340" s="158"/>
      <c r="EG340" s="157"/>
    </row>
    <row r="341" spans="125:137" x14ac:dyDescent="0.2">
      <c r="DU341" s="158"/>
      <c r="EG341" s="157"/>
    </row>
    <row r="342" spans="125:137" x14ac:dyDescent="0.2">
      <c r="DU342" s="158"/>
      <c r="EG342" s="157"/>
    </row>
    <row r="343" spans="125:137" x14ac:dyDescent="0.2">
      <c r="DU343" s="158"/>
      <c r="EG343" s="157"/>
    </row>
    <row r="344" spans="125:137" x14ac:dyDescent="0.2">
      <c r="DU344" s="158"/>
      <c r="EG344" s="157"/>
    </row>
    <row r="345" spans="125:137" x14ac:dyDescent="0.2">
      <c r="DU345" s="158"/>
      <c r="EG345" s="157"/>
    </row>
    <row r="346" spans="125:137" x14ac:dyDescent="0.2">
      <c r="DU346" s="158"/>
      <c r="EG346" s="157"/>
    </row>
    <row r="347" spans="125:137" x14ac:dyDescent="0.2">
      <c r="DU347" s="158"/>
      <c r="EG347" s="157"/>
    </row>
    <row r="348" spans="125:137" x14ac:dyDescent="0.2">
      <c r="DU348" s="158"/>
      <c r="EG348" s="157"/>
    </row>
    <row r="349" spans="125:137" x14ac:dyDescent="0.2">
      <c r="DU349" s="158"/>
      <c r="EG349" s="157"/>
    </row>
    <row r="350" spans="125:137" x14ac:dyDescent="0.2">
      <c r="DU350" s="158"/>
      <c r="EG350" s="157"/>
    </row>
    <row r="351" spans="125:137" x14ac:dyDescent="0.2">
      <c r="DU351" s="158"/>
      <c r="EG351" s="157"/>
    </row>
    <row r="352" spans="125:137" x14ac:dyDescent="0.2">
      <c r="DU352" s="158"/>
      <c r="EG352" s="157"/>
    </row>
    <row r="353" spans="125:137" x14ac:dyDescent="0.2">
      <c r="DU353" s="158"/>
      <c r="EG353" s="157"/>
    </row>
    <row r="354" spans="125:137" x14ac:dyDescent="0.2">
      <c r="DU354" s="158"/>
      <c r="EG354" s="157"/>
    </row>
    <row r="355" spans="125:137" x14ac:dyDescent="0.2">
      <c r="DU355" s="158"/>
      <c r="EG355" s="157"/>
    </row>
    <row r="356" spans="125:137" x14ac:dyDescent="0.2">
      <c r="DU356" s="158"/>
      <c r="EG356" s="157"/>
    </row>
    <row r="357" spans="125:137" x14ac:dyDescent="0.2">
      <c r="DU357" s="158"/>
      <c r="EG357" s="157"/>
    </row>
    <row r="358" spans="125:137" x14ac:dyDescent="0.2">
      <c r="DU358" s="158"/>
      <c r="EG358" s="157"/>
    </row>
    <row r="359" spans="125:137" x14ac:dyDescent="0.2">
      <c r="DU359" s="158"/>
      <c r="EG359" s="157"/>
    </row>
    <row r="360" spans="125:137" x14ac:dyDescent="0.2">
      <c r="DU360" s="158"/>
      <c r="EG360" s="157"/>
    </row>
    <row r="361" spans="125:137" x14ac:dyDescent="0.2">
      <c r="DU361" s="158"/>
      <c r="EG361" s="157"/>
    </row>
    <row r="362" spans="125:137" x14ac:dyDescent="0.2">
      <c r="DU362" s="158"/>
      <c r="EG362" s="157"/>
    </row>
    <row r="363" spans="125:137" x14ac:dyDescent="0.2">
      <c r="DU363" s="158"/>
      <c r="EG363" s="157"/>
    </row>
    <row r="364" spans="125:137" x14ac:dyDescent="0.2">
      <c r="DU364" s="158"/>
      <c r="EG364" s="157"/>
    </row>
    <row r="365" spans="125:137" x14ac:dyDescent="0.2">
      <c r="DU365" s="158"/>
      <c r="EG365" s="157"/>
    </row>
    <row r="366" spans="125:137" x14ac:dyDescent="0.2">
      <c r="DU366" s="158"/>
      <c r="EG366" s="157"/>
    </row>
    <row r="367" spans="125:137" x14ac:dyDescent="0.2">
      <c r="DU367" s="158"/>
      <c r="EG367" s="157"/>
    </row>
    <row r="368" spans="125:137" x14ac:dyDescent="0.2">
      <c r="DU368" s="158"/>
      <c r="EG368" s="157"/>
    </row>
    <row r="369" spans="125:137" x14ac:dyDescent="0.2">
      <c r="DU369" s="158"/>
      <c r="EG369" s="157"/>
    </row>
    <row r="370" spans="125:137" x14ac:dyDescent="0.2">
      <c r="DU370" s="158"/>
      <c r="EG370" s="157"/>
    </row>
    <row r="371" spans="125:137" x14ac:dyDescent="0.2">
      <c r="DU371" s="158"/>
      <c r="EG371" s="157"/>
    </row>
    <row r="372" spans="125:137" x14ac:dyDescent="0.2">
      <c r="DU372" s="158"/>
      <c r="EG372" s="157"/>
    </row>
    <row r="373" spans="125:137" x14ac:dyDescent="0.2">
      <c r="DU373" s="158"/>
      <c r="EG373" s="157"/>
    </row>
    <row r="374" spans="125:137" x14ac:dyDescent="0.2">
      <c r="DU374" s="158"/>
      <c r="EG374" s="157"/>
    </row>
    <row r="375" spans="125:137" x14ac:dyDescent="0.2">
      <c r="DU375" s="158"/>
      <c r="EG375" s="157"/>
    </row>
    <row r="376" spans="125:137" x14ac:dyDescent="0.2">
      <c r="DU376" s="158"/>
      <c r="EG376" s="157"/>
    </row>
    <row r="377" spans="125:137" x14ac:dyDescent="0.2">
      <c r="DU377" s="158"/>
      <c r="EG377" s="157"/>
    </row>
    <row r="378" spans="125:137" x14ac:dyDescent="0.2">
      <c r="DU378" s="158"/>
      <c r="EG378" s="157"/>
    </row>
    <row r="379" spans="125:137" x14ac:dyDescent="0.2">
      <c r="DU379" s="158"/>
      <c r="EG379" s="157"/>
    </row>
    <row r="380" spans="125:137" x14ac:dyDescent="0.2">
      <c r="DU380" s="158"/>
      <c r="EG380" s="157"/>
    </row>
    <row r="381" spans="125:137" x14ac:dyDescent="0.2">
      <c r="DU381" s="158"/>
      <c r="EG381" s="157"/>
    </row>
    <row r="382" spans="125:137" x14ac:dyDescent="0.2">
      <c r="DU382" s="158"/>
      <c r="EG382" s="157"/>
    </row>
    <row r="383" spans="125:137" x14ac:dyDescent="0.2">
      <c r="DU383" s="158"/>
      <c r="EG383" s="157"/>
    </row>
    <row r="384" spans="125:137" x14ac:dyDescent="0.2">
      <c r="DU384" s="158"/>
      <c r="EG384" s="157"/>
    </row>
    <row r="385" spans="125:137" x14ac:dyDescent="0.2">
      <c r="DU385" s="158"/>
      <c r="EG385" s="157"/>
    </row>
    <row r="386" spans="125:137" x14ac:dyDescent="0.2">
      <c r="DU386" s="158"/>
      <c r="EG386" s="157"/>
    </row>
    <row r="387" spans="125:137" x14ac:dyDescent="0.2">
      <c r="DU387" s="158"/>
      <c r="EG387" s="157"/>
    </row>
    <row r="388" spans="125:137" x14ac:dyDescent="0.2">
      <c r="DU388" s="158"/>
      <c r="EG388" s="157"/>
    </row>
    <row r="389" spans="125:137" x14ac:dyDescent="0.2">
      <c r="DU389" s="158"/>
      <c r="EG389" s="157"/>
    </row>
    <row r="390" spans="125:137" x14ac:dyDescent="0.2">
      <c r="DU390" s="158"/>
      <c r="EG390" s="157"/>
    </row>
    <row r="391" spans="125:137" x14ac:dyDescent="0.2">
      <c r="DU391" s="158"/>
      <c r="EG391" s="157"/>
    </row>
    <row r="392" spans="125:137" x14ac:dyDescent="0.2">
      <c r="DU392" s="158"/>
      <c r="EG392" s="157"/>
    </row>
    <row r="393" spans="125:137" x14ac:dyDescent="0.2">
      <c r="DU393" s="158"/>
      <c r="EG393" s="157"/>
    </row>
    <row r="394" spans="125:137" x14ac:dyDescent="0.2">
      <c r="DU394" s="158"/>
      <c r="EG394" s="157"/>
    </row>
    <row r="395" spans="125:137" x14ac:dyDescent="0.2">
      <c r="DU395" s="158"/>
      <c r="EG395" s="157"/>
    </row>
    <row r="396" spans="125:137" x14ac:dyDescent="0.2">
      <c r="DU396" s="158"/>
      <c r="EG396" s="157"/>
    </row>
    <row r="397" spans="125:137" x14ac:dyDescent="0.2">
      <c r="DU397" s="158"/>
      <c r="EG397" s="157"/>
    </row>
    <row r="398" spans="125:137" x14ac:dyDescent="0.2">
      <c r="DU398" s="158"/>
      <c r="EG398" s="157"/>
    </row>
    <row r="399" spans="125:137" x14ac:dyDescent="0.2">
      <c r="DU399" s="158"/>
      <c r="EG399" s="157"/>
    </row>
    <row r="400" spans="125:137" x14ac:dyDescent="0.2">
      <c r="DU400" s="158"/>
      <c r="EG400" s="157"/>
    </row>
    <row r="401" spans="125:137" x14ac:dyDescent="0.2">
      <c r="DU401" s="158"/>
      <c r="EG401" s="157"/>
    </row>
    <row r="402" spans="125:137" x14ac:dyDescent="0.2">
      <c r="DU402" s="158"/>
      <c r="EG402" s="157"/>
    </row>
    <row r="403" spans="125:137" x14ac:dyDescent="0.2">
      <c r="DU403" s="158"/>
      <c r="EG403" s="157"/>
    </row>
    <row r="404" spans="125:137" x14ac:dyDescent="0.2">
      <c r="DU404" s="158"/>
      <c r="EG404" s="157"/>
    </row>
    <row r="405" spans="125:137" x14ac:dyDescent="0.2">
      <c r="DU405" s="158"/>
      <c r="EG405" s="157"/>
    </row>
    <row r="406" spans="125:137" x14ac:dyDescent="0.2">
      <c r="DU406" s="158"/>
      <c r="EG406" s="157"/>
    </row>
    <row r="407" spans="125:137" x14ac:dyDescent="0.2">
      <c r="DU407" s="158"/>
      <c r="EG407" s="157"/>
    </row>
    <row r="408" spans="125:137" x14ac:dyDescent="0.2">
      <c r="DU408" s="158"/>
      <c r="EG408" s="157"/>
    </row>
    <row r="409" spans="125:137" x14ac:dyDescent="0.2">
      <c r="DU409" s="158"/>
      <c r="EG409" s="157"/>
    </row>
    <row r="410" spans="125:137" x14ac:dyDescent="0.2">
      <c r="DU410" s="158"/>
      <c r="EG410" s="157"/>
    </row>
    <row r="411" spans="125:137" x14ac:dyDescent="0.2">
      <c r="DU411" s="158"/>
      <c r="EG411" s="157"/>
    </row>
    <row r="412" spans="125:137" x14ac:dyDescent="0.2">
      <c r="DU412" s="158"/>
      <c r="EG412" s="157"/>
    </row>
    <row r="413" spans="125:137" x14ac:dyDescent="0.2">
      <c r="DU413" s="158"/>
      <c r="EG413" s="157"/>
    </row>
    <row r="414" spans="125:137" x14ac:dyDescent="0.2">
      <c r="DU414" s="158"/>
      <c r="EG414" s="157"/>
    </row>
    <row r="415" spans="125:137" x14ac:dyDescent="0.2">
      <c r="DU415" s="158"/>
      <c r="EG415" s="157"/>
    </row>
    <row r="416" spans="125:137" x14ac:dyDescent="0.2">
      <c r="DU416" s="158"/>
      <c r="EG416" s="157"/>
    </row>
    <row r="417" spans="125:137" x14ac:dyDescent="0.2">
      <c r="DU417" s="158"/>
      <c r="EG417" s="157"/>
    </row>
    <row r="418" spans="125:137" x14ac:dyDescent="0.2">
      <c r="DU418" s="158"/>
      <c r="EG418" s="157"/>
    </row>
    <row r="419" spans="125:137" x14ac:dyDescent="0.2">
      <c r="DU419" s="158"/>
      <c r="EG419" s="157"/>
    </row>
    <row r="420" spans="125:137" x14ac:dyDescent="0.2">
      <c r="DU420" s="158"/>
      <c r="EG420" s="157"/>
    </row>
    <row r="421" spans="125:137" x14ac:dyDescent="0.2">
      <c r="DU421" s="158"/>
      <c r="EG421" s="157"/>
    </row>
    <row r="422" spans="125:137" x14ac:dyDescent="0.2">
      <c r="DU422" s="158"/>
      <c r="EG422" s="157"/>
    </row>
    <row r="423" spans="125:137" x14ac:dyDescent="0.2">
      <c r="DU423" s="158"/>
      <c r="EG423" s="157"/>
    </row>
    <row r="424" spans="125:137" x14ac:dyDescent="0.2">
      <c r="DU424" s="158"/>
      <c r="EG424" s="157"/>
    </row>
    <row r="425" spans="125:137" x14ac:dyDescent="0.2">
      <c r="DU425" s="158"/>
      <c r="EG425" s="157"/>
    </row>
    <row r="426" spans="125:137" x14ac:dyDescent="0.2">
      <c r="DU426" s="158"/>
      <c r="EG426" s="157"/>
    </row>
    <row r="427" spans="125:137" x14ac:dyDescent="0.2">
      <c r="DU427" s="158"/>
      <c r="EG427" s="157"/>
    </row>
    <row r="428" spans="125:137" x14ac:dyDescent="0.2">
      <c r="DU428" s="158"/>
      <c r="EG428" s="157"/>
    </row>
    <row r="429" spans="125:137" x14ac:dyDescent="0.2">
      <c r="DU429" s="158"/>
      <c r="EG429" s="157"/>
    </row>
    <row r="430" spans="125:137" x14ac:dyDescent="0.2">
      <c r="DU430" s="158"/>
      <c r="EG430" s="157"/>
    </row>
    <row r="431" spans="125:137" x14ac:dyDescent="0.2">
      <c r="DU431" s="158"/>
    </row>
    <row r="432" spans="125:137" x14ac:dyDescent="0.2">
      <c r="DU432" s="158"/>
    </row>
    <row r="433" spans="125:125" x14ac:dyDescent="0.2">
      <c r="DU433" s="158"/>
    </row>
    <row r="434" spans="125:125" x14ac:dyDescent="0.2">
      <c r="DU434" s="158"/>
    </row>
    <row r="435" spans="125:125" x14ac:dyDescent="0.2">
      <c r="DU435" s="158"/>
    </row>
    <row r="436" spans="125:125" x14ac:dyDescent="0.2">
      <c r="DU436" s="158"/>
    </row>
    <row r="437" spans="125:125" x14ac:dyDescent="0.2">
      <c r="DU437" s="158"/>
    </row>
    <row r="438" spans="125:125" x14ac:dyDescent="0.2">
      <c r="DU438" s="158"/>
    </row>
    <row r="439" spans="125:125" x14ac:dyDescent="0.2">
      <c r="DU439" s="158"/>
    </row>
    <row r="440" spans="125:125" x14ac:dyDescent="0.2">
      <c r="DU440" s="158"/>
    </row>
    <row r="441" spans="125:125" x14ac:dyDescent="0.2">
      <c r="DU441" s="158"/>
    </row>
    <row r="442" spans="125:125" x14ac:dyDescent="0.2">
      <c r="DU442" s="158"/>
    </row>
    <row r="443" spans="125:125" x14ac:dyDescent="0.2">
      <c r="DU443" s="158"/>
    </row>
    <row r="444" spans="125:125" x14ac:dyDescent="0.2">
      <c r="DU444" s="158"/>
    </row>
    <row r="445" spans="125:125" x14ac:dyDescent="0.2">
      <c r="DU445" s="158"/>
    </row>
    <row r="446" spans="125:125" x14ac:dyDescent="0.2">
      <c r="DU446" s="158"/>
    </row>
    <row r="447" spans="125:125" x14ac:dyDescent="0.2">
      <c r="DU447" s="158"/>
    </row>
    <row r="448" spans="125:125" x14ac:dyDescent="0.2">
      <c r="DU448" s="158"/>
    </row>
    <row r="449" spans="125:125" x14ac:dyDescent="0.2">
      <c r="DU449" s="158"/>
    </row>
    <row r="450" spans="125:125" x14ac:dyDescent="0.2">
      <c r="DU450" s="158"/>
    </row>
    <row r="451" spans="125:125" x14ac:dyDescent="0.2">
      <c r="DU451" s="158"/>
    </row>
    <row r="452" spans="125:125" x14ac:dyDescent="0.2">
      <c r="DU452" s="158"/>
    </row>
    <row r="453" spans="125:125" x14ac:dyDescent="0.2">
      <c r="DU453" s="158"/>
    </row>
    <row r="454" spans="125:125" x14ac:dyDescent="0.2">
      <c r="DU454" s="158"/>
    </row>
    <row r="455" spans="125:125" x14ac:dyDescent="0.2">
      <c r="DU455" s="158"/>
    </row>
    <row r="456" spans="125:125" x14ac:dyDescent="0.2">
      <c r="DU456" s="158"/>
    </row>
    <row r="457" spans="125:125" x14ac:dyDescent="0.2">
      <c r="DU457" s="158"/>
    </row>
    <row r="458" spans="125:125" x14ac:dyDescent="0.2">
      <c r="DU458" s="158"/>
    </row>
    <row r="459" spans="125:125" x14ac:dyDescent="0.2">
      <c r="DU459" s="158"/>
    </row>
    <row r="460" spans="125:125" x14ac:dyDescent="0.2">
      <c r="DU460" s="158"/>
    </row>
    <row r="461" spans="125:125" x14ac:dyDescent="0.2">
      <c r="DU461" s="158"/>
    </row>
    <row r="462" spans="125:125" x14ac:dyDescent="0.2">
      <c r="DU462" s="158"/>
    </row>
    <row r="463" spans="125:125" x14ac:dyDescent="0.2">
      <c r="DU463" s="158"/>
    </row>
    <row r="464" spans="125:125" x14ac:dyDescent="0.2">
      <c r="DU464" s="158"/>
    </row>
    <row r="465" spans="125:125" x14ac:dyDescent="0.2">
      <c r="DU465" s="158"/>
    </row>
    <row r="466" spans="125:125" x14ac:dyDescent="0.2">
      <c r="DU466" s="158"/>
    </row>
    <row r="467" spans="125:125" x14ac:dyDescent="0.2">
      <c r="DU467" s="158"/>
    </row>
    <row r="468" spans="125:125" x14ac:dyDescent="0.2">
      <c r="DU468" s="158"/>
    </row>
    <row r="469" spans="125:125" x14ac:dyDescent="0.2">
      <c r="DU469" s="158"/>
    </row>
    <row r="470" spans="125:125" x14ac:dyDescent="0.2">
      <c r="DU470" s="158"/>
    </row>
    <row r="471" spans="125:125" x14ac:dyDescent="0.2">
      <c r="DU471" s="158"/>
    </row>
    <row r="472" spans="125:125" x14ac:dyDescent="0.2">
      <c r="DU472" s="158"/>
    </row>
    <row r="473" spans="125:125" x14ac:dyDescent="0.2">
      <c r="DU473" s="158"/>
    </row>
    <row r="474" spans="125:125" x14ac:dyDescent="0.2">
      <c r="DU474" s="158"/>
    </row>
    <row r="475" spans="125:125" x14ac:dyDescent="0.2">
      <c r="DU475" s="158"/>
    </row>
    <row r="476" spans="125:125" x14ac:dyDescent="0.2">
      <c r="DU476" s="158"/>
    </row>
    <row r="477" spans="125:125" x14ac:dyDescent="0.2">
      <c r="DU477" s="158"/>
    </row>
    <row r="478" spans="125:125" x14ac:dyDescent="0.2">
      <c r="DU478" s="158"/>
    </row>
    <row r="479" spans="125:125" x14ac:dyDescent="0.2">
      <c r="DU479" s="158"/>
    </row>
    <row r="480" spans="125:125" x14ac:dyDescent="0.2">
      <c r="DU480" s="158"/>
    </row>
    <row r="481" spans="125:125" x14ac:dyDescent="0.2">
      <c r="DU481" s="158"/>
    </row>
    <row r="482" spans="125:125" x14ac:dyDescent="0.2">
      <c r="DU482" s="158"/>
    </row>
    <row r="483" spans="125:125" x14ac:dyDescent="0.2">
      <c r="DU483" s="158"/>
    </row>
    <row r="484" spans="125:125" x14ac:dyDescent="0.2">
      <c r="DU484" s="158"/>
    </row>
    <row r="485" spans="125:125" x14ac:dyDescent="0.2">
      <c r="DU485" s="158"/>
    </row>
    <row r="486" spans="125:125" x14ac:dyDescent="0.2">
      <c r="DU486" s="158"/>
    </row>
    <row r="487" spans="125:125" x14ac:dyDescent="0.2">
      <c r="DU487" s="158"/>
    </row>
    <row r="488" spans="125:125" x14ac:dyDescent="0.2">
      <c r="DU488" s="158"/>
    </row>
    <row r="489" spans="125:125" x14ac:dyDescent="0.2">
      <c r="DU489" s="158"/>
    </row>
    <row r="490" spans="125:125" x14ac:dyDescent="0.2">
      <c r="DU490" s="158"/>
    </row>
    <row r="491" spans="125:125" x14ac:dyDescent="0.2">
      <c r="DU491" s="158"/>
    </row>
    <row r="492" spans="125:125" x14ac:dyDescent="0.2">
      <c r="DU492" s="158"/>
    </row>
    <row r="493" spans="125:125" x14ac:dyDescent="0.2">
      <c r="DU493" s="158"/>
    </row>
    <row r="494" spans="125:125" x14ac:dyDescent="0.2">
      <c r="DU494" s="158"/>
    </row>
    <row r="495" spans="125:125" x14ac:dyDescent="0.2">
      <c r="DU495" s="158"/>
    </row>
    <row r="496" spans="125:125" x14ac:dyDescent="0.2">
      <c r="DU496" s="158"/>
    </row>
    <row r="497" spans="125:125" x14ac:dyDescent="0.2">
      <c r="DU497" s="158"/>
    </row>
    <row r="498" spans="125:125" x14ac:dyDescent="0.2">
      <c r="DU498" s="158"/>
    </row>
    <row r="499" spans="125:125" x14ac:dyDescent="0.2">
      <c r="DU499" s="158"/>
    </row>
    <row r="500" spans="125:125" x14ac:dyDescent="0.2">
      <c r="DU500" s="158"/>
    </row>
    <row r="501" spans="125:125" x14ac:dyDescent="0.2">
      <c r="DU501" s="158"/>
    </row>
    <row r="502" spans="125:125" x14ac:dyDescent="0.2">
      <c r="DU502" s="158"/>
    </row>
    <row r="503" spans="125:125" x14ac:dyDescent="0.2">
      <c r="DU503" s="158"/>
    </row>
    <row r="504" spans="125:125" x14ac:dyDescent="0.2">
      <c r="DU504" s="158"/>
    </row>
    <row r="505" spans="125:125" x14ac:dyDescent="0.2">
      <c r="DU505" s="158"/>
    </row>
    <row r="506" spans="125:125" x14ac:dyDescent="0.2">
      <c r="DU506" s="158"/>
    </row>
    <row r="507" spans="125:125" x14ac:dyDescent="0.2">
      <c r="DU507" s="158"/>
    </row>
    <row r="508" spans="125:125" x14ac:dyDescent="0.2">
      <c r="DU508" s="158"/>
    </row>
    <row r="509" spans="125:125" x14ac:dyDescent="0.2">
      <c r="DU509" s="158"/>
    </row>
    <row r="510" spans="125:125" x14ac:dyDescent="0.2">
      <c r="DU510" s="158"/>
    </row>
    <row r="511" spans="125:125" x14ac:dyDescent="0.2">
      <c r="DU511" s="158"/>
    </row>
    <row r="512" spans="125:125" x14ac:dyDescent="0.2">
      <c r="DU512" s="158"/>
    </row>
    <row r="513" spans="125:125" x14ac:dyDescent="0.2">
      <c r="DU513" s="158"/>
    </row>
    <row r="514" spans="125:125" x14ac:dyDescent="0.2">
      <c r="DU514" s="158"/>
    </row>
    <row r="515" spans="125:125" x14ac:dyDescent="0.2">
      <c r="DU515" s="158"/>
    </row>
    <row r="516" spans="125:125" x14ac:dyDescent="0.2">
      <c r="DU516" s="158"/>
    </row>
    <row r="517" spans="125:125" x14ac:dyDescent="0.2">
      <c r="DU517" s="158"/>
    </row>
    <row r="518" spans="125:125" x14ac:dyDescent="0.2">
      <c r="DU518" s="158"/>
    </row>
    <row r="519" spans="125:125" x14ac:dyDescent="0.2">
      <c r="DU519" s="158"/>
    </row>
    <row r="520" spans="125:125" x14ac:dyDescent="0.2">
      <c r="DU520" s="158"/>
    </row>
    <row r="521" spans="125:125" x14ac:dyDescent="0.2">
      <c r="DU521" s="158"/>
    </row>
    <row r="629" spans="113:113" x14ac:dyDescent="0.2">
      <c r="DI629" s="113"/>
    </row>
    <row r="630" spans="113:113" x14ac:dyDescent="0.2">
      <c r="DI630" s="113"/>
    </row>
    <row r="631" spans="113:113" x14ac:dyDescent="0.2">
      <c r="DI631" s="113"/>
    </row>
    <row r="632" spans="113:113" x14ac:dyDescent="0.2">
      <c r="DI632" s="113"/>
    </row>
    <row r="633" spans="113:113" x14ac:dyDescent="0.2">
      <c r="DI633" s="113"/>
    </row>
    <row r="634" spans="113:113" x14ac:dyDescent="0.2">
      <c r="DI634" s="113"/>
    </row>
    <row r="635" spans="113:113" x14ac:dyDescent="0.2">
      <c r="DI635" s="113"/>
    </row>
    <row r="636" spans="113:113" x14ac:dyDescent="0.2">
      <c r="DI636" s="113"/>
    </row>
    <row r="637" spans="113:113" x14ac:dyDescent="0.2">
      <c r="DI637" s="113"/>
    </row>
    <row r="638" spans="113:113" x14ac:dyDescent="0.2">
      <c r="DI638" s="113"/>
    </row>
    <row r="1140" spans="107:107" x14ac:dyDescent="0.2">
      <c r="DC1140" s="113"/>
    </row>
    <row r="1141" spans="107:107" x14ac:dyDescent="0.2">
      <c r="DC1141" s="113"/>
    </row>
    <row r="1142" spans="107:107" x14ac:dyDescent="0.2">
      <c r="DC1142" s="113"/>
    </row>
    <row r="1143" spans="107:107" x14ac:dyDescent="0.2">
      <c r="DC1143" s="113"/>
    </row>
    <row r="1144" spans="107:107" x14ac:dyDescent="0.2">
      <c r="DC1144" s="113"/>
    </row>
    <row r="1145" spans="107:107" x14ac:dyDescent="0.2">
      <c r="DC1145" s="113"/>
    </row>
    <row r="1146" spans="107:107" x14ac:dyDescent="0.2">
      <c r="DC1146" s="113"/>
    </row>
    <row r="1147" spans="107:107" x14ac:dyDescent="0.2">
      <c r="DC1147" s="113"/>
    </row>
    <row r="1148" spans="107:107" x14ac:dyDescent="0.2">
      <c r="DC1148" s="113"/>
    </row>
    <row r="1149" spans="107:107" x14ac:dyDescent="0.2">
      <c r="DC1149" s="113"/>
    </row>
    <row r="1150" spans="107:107" x14ac:dyDescent="0.2">
      <c r="DC1150" s="113"/>
    </row>
    <row r="1151" spans="107:107" x14ac:dyDescent="0.2">
      <c r="DC1151" s="113"/>
    </row>
    <row r="1152" spans="107:107" x14ac:dyDescent="0.2">
      <c r="DC1152" s="113"/>
    </row>
    <row r="1153" spans="107:107" x14ac:dyDescent="0.2">
      <c r="DC1153" s="113"/>
    </row>
    <row r="1154" spans="107:107" x14ac:dyDescent="0.2">
      <c r="DC1154" s="113"/>
    </row>
    <row r="1155" spans="107:107" x14ac:dyDescent="0.2">
      <c r="DC1155" s="113"/>
    </row>
    <row r="1156" spans="107:107" x14ac:dyDescent="0.2">
      <c r="DC1156" s="113"/>
    </row>
    <row r="1157" spans="107:107" x14ac:dyDescent="0.2">
      <c r="DC1157" s="113"/>
    </row>
    <row r="1158" spans="107:107" x14ac:dyDescent="0.2">
      <c r="DC1158" s="113"/>
    </row>
    <row r="1159" spans="107:107" x14ac:dyDescent="0.2">
      <c r="DC1159" s="113"/>
    </row>
    <row r="1160" spans="107:107" x14ac:dyDescent="0.2">
      <c r="DC1160" s="113"/>
    </row>
    <row r="1161" spans="107:107" x14ac:dyDescent="0.2">
      <c r="DC1161" s="113"/>
    </row>
    <row r="1162" spans="107:107" x14ac:dyDescent="0.2">
      <c r="DC1162" s="113"/>
    </row>
  </sheetData>
  <sheetProtection algorithmName="SHA-512" hashValue="yanxvghhMr8Hq1IA9ENVl6Jbia8ds6Erp7K4fuW4sU9aEitLBugVLyLE0K9NASGgpyTe6ZxDB4blcJEl0YAFbw==" saltValue="rw8EPRX4sC1xnfLNQCM/og==" spinCount="100000" sheet="1" objects="1" scenarios="1" selectLockedCells="1" selectUnlockedCells="1"/>
  <mergeCells count="6">
    <mergeCell ref="EC10:EE10"/>
    <mergeCell ref="EI10:EK10"/>
    <mergeCell ref="DE10:DG10"/>
    <mergeCell ref="DK10:DM10"/>
    <mergeCell ref="DQ10:DS10"/>
    <mergeCell ref="DW10:DY10"/>
  </mergeCells>
  <phoneticPr fontId="7" type="noConversion"/>
  <conditionalFormatting sqref="DD278:DD311 DD38:DH38 DD40:DH40 DD42:DH42 DD44:DH44 DD46:DH46 DD48:DH48 DD50:DH50 DD52:DH52 DD54:DH54 DD56:DH56 DD58:DH58 DD60:DH60 DD62:DH62 DD65:DH65 DD67:DH67 DD69:DH69 DD71:DH71 DD73:DH73 DD75:DH75 DD77:DH77 DD79:DH79 DD81:DH81 DD83:DH83 DD86:DH86 DD88:DH88 DD90:DH90 DD92:DH92 DD94:DH94 DD96:DH96 DD98:DH98 DD100:DH100 DD102:DH102 DD104:DH104 DD107:DH107 DD109:DH109 DD111:DH111 DD113:DH113 DD115:DH115 DD117:DH117 DD119:DH119 DD121:DH121 DD123:DH123 DD125:DH125 DD128:DH128 DD130:DH130 DD132:DH132 DD135:DH135 DD137:DH137 DD140:DH140 DD142:DH142 DD144:DH144 DD146:DH146 DD148:DH148 DD150:DH150 DD152:DH152 DD163:DH163 DD165:DH165 DD167:DH167 DD169:DH169 DD171:DH171 DD173:DH173 DD175:DH175 DD177:DH177 DD179:DH179 DD181:DH181 DD205:DH205 DD208:DH208 DD210:DH210 DD212:DH212 DD214:DH214 DD216:DH216 DD218:DH218 DD220:DH220 DD222:DH222 DD224:DH224 DD226:DH226 DD230:DH230 DD236:DH236 DD238:DH238 DD240:DH240 DD243:DH243 DD245:DH245 DD247:DH247 DD250:DH250 DD252:DH252 DD159:DH160 DD183:DH202 DD232:DH233 DD154:DH157 DD35:DD275 DE35:DH311 DD12:DH35">
    <cfRule type="expression" dxfId="9" priority="14" stopIfTrue="1">
      <formula>NOT($DG12="")</formula>
    </cfRule>
  </conditionalFormatting>
  <conditionalFormatting sqref="DJ12:DN769">
    <cfRule type="expression" dxfId="8" priority="16" stopIfTrue="1">
      <formula>NOT($DM12="")</formula>
    </cfRule>
  </conditionalFormatting>
  <conditionalFormatting sqref="EB12:EF769">
    <cfRule type="expression" dxfId="7" priority="401" stopIfTrue="1">
      <formula>NOT($EE12="")</formula>
    </cfRule>
  </conditionalFormatting>
  <conditionalFormatting sqref="DV12:DZ583">
    <cfRule type="expression" dxfId="6" priority="64" stopIfTrue="1">
      <formula>NOT($DY12="")</formula>
    </cfRule>
  </conditionalFormatting>
  <conditionalFormatting sqref="EH12:EL520">
    <cfRule type="expression" dxfId="5" priority="402" stopIfTrue="1">
      <formula>NOT($EK12="")</formula>
    </cfRule>
  </conditionalFormatting>
  <conditionalFormatting sqref="DP12:DT804">
    <cfRule type="expression" dxfId="4" priority="40" stopIfTrue="1">
      <formula>NOT($DS12="")</formula>
    </cfRule>
  </conditionalFormatting>
  <conditionalFormatting sqref="DJ23:DN23">
    <cfRule type="expression" dxfId="3" priority="405" stopIfTrue="1">
      <formula>NOT(#REF!="")</formula>
    </cfRule>
  </conditionalFormatting>
  <conditionalFormatting sqref="EI70">
    <cfRule type="expression" dxfId="2" priority="3" stopIfTrue="1">
      <formula>NOT($EK70="")</formula>
    </cfRule>
  </conditionalFormatting>
  <conditionalFormatting sqref="EI71">
    <cfRule type="expression" dxfId="1" priority="2" stopIfTrue="1">
      <formula>NOT($EK71="")</formula>
    </cfRule>
  </conditionalFormatting>
  <conditionalFormatting sqref="EI76">
    <cfRule type="expression" dxfId="0" priority="1" stopIfTrue="1">
      <formula>NOT($EK76="")</formula>
    </cfRule>
  </conditionalFormatting>
  <dataValidations count="6">
    <dataValidation type="list" allowBlank="1" showInputMessage="1" showErrorMessage="1" sqref="EE12:EE45">
      <formula1>$EB$5:$EB$9</formula1>
    </dataValidation>
    <dataValidation type="list" allowBlank="1" showInputMessage="1" showErrorMessage="1" sqref="DM12:DM22">
      <formula1>$DJ$5:$DJ$9</formula1>
    </dataValidation>
    <dataValidation type="list" allowBlank="1" showInputMessage="1" showErrorMessage="1" sqref="EK12:EK180">
      <formula1>$EH$5:$EH$9</formula1>
    </dataValidation>
    <dataValidation type="list" allowBlank="1" showInputMessage="1" showErrorMessage="1" sqref="DY12:DY149">
      <formula1>$DV$5:$DV$9</formula1>
    </dataValidation>
    <dataValidation type="list" allowBlank="1" showInputMessage="1" showErrorMessage="1" sqref="DS12:DS122">
      <formula1>$DP$5:$DP$9</formula1>
    </dataValidation>
    <dataValidation type="list" allowBlank="1" showInputMessage="1" showErrorMessage="1" sqref="DG12:DG303">
      <formula1>$DD$5:$DD$9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form</vt:lpstr>
      <vt:lpstr>ORDER</vt:lpstr>
      <vt:lpstr>Код ДП</vt:lpstr>
      <vt:lpstr>Код КД</vt:lpstr>
      <vt:lpstr>Код ФР</vt:lpstr>
      <vt:lpstr>Код ПГ</vt:lpstr>
      <vt:lpstr>seriya_DF</vt:lpstr>
      <vt:lpstr>seriya_DL</vt:lpstr>
      <vt:lpstr>seriya_FR</vt:lpstr>
      <vt:lpstr>seriya3</vt:lpstr>
      <vt:lpstr>seriya4</vt:lpstr>
      <vt:lpstr>vat_yesno</vt:lpstr>
      <vt:lpstr>form!Область_печати</vt:lpstr>
    </vt:vector>
  </TitlesOfParts>
  <Company>pgs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Verto Doors</dc:creator>
  <cp:lastModifiedBy>Ekaterina Nazarenko</cp:lastModifiedBy>
  <cp:lastPrinted>2023-09-06T08:45:10Z</cp:lastPrinted>
  <dcterms:created xsi:type="dcterms:W3CDTF">2011-04-21T07:39:49Z</dcterms:created>
  <dcterms:modified xsi:type="dcterms:W3CDTF">2026-05-29T13:08:30Z</dcterms:modified>
</cp:coreProperties>
</file>